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50" tabRatio="601" firstSheet="4" activeTab="7"/>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 r:id="rId21"/>
  </externalReferences>
  <definedNames>
    <definedName name="_xlnm.Print_Area" localSheetId="3">'Balance Sheet'!$A$1:$J$54</definedName>
    <definedName name="_xlnm.Print_Area" localSheetId="10">'Cash FlowCondensed(H)'!$A$1:$E$50</definedName>
    <definedName name="_xlnm.Print_Area" localSheetId="4">'Income Statement'!$A$1:$I$54</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<sst xmlns="http://schemas.openxmlformats.org/spreadsheetml/2006/main" count="1137" uniqueCount="627">
  <si>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</si>
  <si>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</si>
  <si>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</si>
  <si>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</si>
  <si>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</si>
  <si>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</si>
  <si>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</si>
  <si>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</si>
  <si>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</si>
  <si>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</si>
  <si>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</si>
  <si>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</si>
  <si>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</si>
  <si>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</si>
  <si>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</si>
  <si>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</si>
  <si>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</si>
  <si>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</si>
  <si>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</si>
  <si>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</si>
  <si>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</si>
  <si>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</si>
  <si>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</si>
  <si>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</si>
  <si>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</si>
  <si>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</si>
  <si>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</si>
  <si>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</si>
  <si>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</si>
  <si>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</si>
  <si>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</si>
  <si>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</si>
  <si>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</si>
  <si>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</si>
  <si>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</si>
  <si>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</si>
  <si>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</si>
  <si>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</si>
  <si>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</si>
  <si>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</si>
  <si>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</si>
  <si>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</si>
  <si>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</si>
  <si>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</si>
  <si>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</si>
  <si>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</si>
  <si>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</si>
  <si>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</si>
  <si>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</si>
  <si>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</si>
  <si>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</si>
  <si>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</si>
  <si>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</si>
  <si>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</si>
  <si>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</si>
  <si>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</si>
  <si>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</si>
  <si>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</si>
  <si>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</si>
  <si>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</si>
  <si>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</si>
  <si>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</si>
  <si>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</si>
  <si>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</si>
  <si>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</si>
  <si>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</si>
  <si>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</si>
  <si>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</si>
  <si>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</si>
  <si>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</si>
  <si>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</si>
  <si>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</si>
  <si>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</si>
  <si>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</si>
  <si>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</si>
  <si>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</si>
  <si>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</si>
  <si>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</si>
  <si>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</si>
  <si>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</si>
  <si>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</si>
  <si>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</si>
  <si>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</si>
  <si>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</si>
  <si>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</si>
  <si>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</si>
  <si>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</si>
  <si>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</si>
  <si>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</si>
  <si>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</si>
  <si>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</si>
  <si>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</si>
  <si>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</si>
  <si>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</si>
  <si>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</si>
  <si>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</si>
  <si>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</si>
  <si>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</si>
  <si>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</si>
  <si>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</si>
  <si>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</si>
  <si>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</si>
  <si>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</si>
  <si>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</si>
  <si>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</si>
  <si>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</si>
  <si>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</si>
  <si>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</si>
  <si>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</si>
  <si>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</si>
  <si>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</si>
  <si>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</si>
  <si>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</si>
  <si>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</si>
  <si>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</si>
  <si>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</si>
  <si>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</si>
  <si>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</si>
  <si>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</si>
  <si>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</si>
  <si>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</si>
  <si>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</si>
  <si>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</si>
  <si>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</si>
  <si>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</si>
  <si>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</si>
  <si>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</si>
  <si>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</si>
  <si>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</si>
  <si>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</si>
  <si>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</si>
  <si>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</si>
  <si>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</si>
  <si>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</si>
  <si>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</si>
  <si>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</si>
  <si>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</si>
  <si>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</si>
  <si>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</si>
  <si>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</si>
  <si>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</si>
  <si>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</si>
  <si>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</si>
  <si>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</si>
  <si>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</si>
  <si>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</si>
  <si>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</si>
  <si>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</si>
  <si>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</si>
  <si>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</si>
  <si>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</si>
  <si>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</si>
  <si>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</si>
  <si>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</si>
  <si>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</si>
  <si>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</si>
  <si>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</si>
  <si>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</si>
  <si>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</si>
  <si>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</si>
  <si>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</si>
  <si>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</si>
  <si>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</si>
  <si>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</si>
  <si>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</si>
  <si>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</si>
  <si>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</si>
  <si>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</si>
  <si>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</si>
  <si>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</si>
  <si>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</si>
  <si>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</si>
  <si>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</si>
  <si>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</si>
  <si>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</si>
  <si>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</si>
  <si>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</si>
  <si>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</si>
  <si>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</si>
  <si>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</si>
  <si>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</si>
  <si>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</si>
  <si>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</si>
  <si>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</si>
  <si>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</si>
  <si>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</si>
  <si>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</si>
  <si>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</si>
  <si>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</si>
  <si>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</si>
  <si>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</si>
  <si>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</si>
  <si>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</si>
  <si>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</si>
  <si>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</si>
  <si>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</si>
  <si>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</si>
  <si>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</si>
  <si>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</si>
  <si>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</si>
  <si>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</si>
  <si>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</si>
  <si>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</si>
  <si>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</si>
  <si>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</si>
  <si>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</si>
  <si>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</si>
  <si>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</si>
  <si>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</si>
  <si>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</si>
  <si>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</si>
  <si>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</si>
  <si>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</si>
  <si>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</si>
  <si>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</si>
  <si>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</si>
  <si>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</si>
  <si>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</si>
  <si>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</si>
  <si>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</si>
  <si>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</si>
  <si>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</si>
  <si>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</si>
  <si>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</si>
  <si>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</si>
  <si>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</si>
  <si>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</si>
  <si>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</si>
  <si>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</si>
  <si>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</si>
  <si>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</si>
  <si>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</si>
  <si>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</si>
  <si>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</si>
  <si>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</si>
  <si>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</si>
  <si>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</si>
  <si>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</si>
  <si>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</si>
  <si>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</si>
  <si>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</si>
  <si>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</si>
  <si>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</si>
  <si>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</si>
  <si>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</si>
  <si>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</si>
  <si>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</si>
  <si>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</si>
  <si>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</si>
  <si>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</si>
  <si>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</si>
  <si>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</si>
  <si>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</si>
  <si>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</si>
  <si>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</si>
  <si>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</si>
  <si>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</si>
  <si>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</si>
  <si>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</si>
  <si>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</si>
  <si>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</si>
  <si>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</si>
  <si>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</si>
  <si>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</si>
  <si>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</si>
  <si>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</si>
  <si>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</si>
  <si>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</si>
  <si>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</si>
  <si>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</si>
  <si>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</si>
  <si>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</si>
  <si>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</si>
  <si>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</si>
  <si>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</si>
  <si>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</si>
  <si>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</si>
  <si>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</si>
  <si>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</si>
  <si>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</si>
  <si>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</si>
  <si>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</si>
  <si>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</si>
  <si>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</si>
  <si>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</si>
  <si>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</si>
  <si>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</si>
  <si>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</si>
  <si>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</si>
  <si>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</si>
  <si>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</si>
  <si>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</si>
  <si>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</si>
  <si>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</si>
  <si>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</si>
  <si>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</si>
  <si>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</si>
  <si>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</si>
  <si>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</si>
  <si>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</si>
  <si>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</si>
  <si>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</si>
  <si>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</si>
  <si>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</si>
  <si>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</si>
  <si>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</si>
  <si>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</si>
  <si>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</si>
  <si>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</si>
  <si>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</si>
  <si>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</si>
  <si>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</si>
  <si>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</si>
  <si>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</si>
  <si>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</si>
  <si>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</si>
  <si>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</si>
  <si>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</si>
  <si>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</si>
  <si>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</si>
  <si>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</si>
  <si>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</si>
  <si>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</si>
  <si>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</si>
  <si>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</si>
  <si>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</si>
  <si>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</si>
  <si>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</si>
  <si>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</si>
  <si>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</si>
  <si>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</si>
  <si>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</si>
  <si>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</si>
  <si>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</si>
  <si>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</si>
  <si>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</si>
  <si>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</si>
  <si>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</si>
  <si>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</si>
  <si>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</si>
  <si>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</si>
  <si>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</si>
  <si>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</si>
  <si>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</si>
  <si>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</si>
  <si>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</si>
  <si>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</si>
  <si>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</si>
  <si>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</si>
  <si>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</si>
  <si>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</si>
  <si>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</si>
  <si>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</si>
  <si>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</si>
  <si>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</si>
  <si>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</si>
  <si>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</si>
  <si>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</si>
  <si>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</si>
  <si>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</si>
  <si>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</si>
  <si>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</si>
  <si>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</si>
  <si>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</si>
  <si>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</si>
  <si>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</si>
  <si>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</si>
  <si>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</si>
  <si>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</si>
  <si>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</si>
  <si>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</si>
  <si>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</si>
  <si>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</si>
  <si>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</si>
  <si>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</si>
  <si>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</si>
  <si>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</si>
  <si>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</si>
  <si>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</si>
  <si>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</si>
  <si>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</si>
  <si>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</si>
  <si>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</si>
  <si>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</si>
  <si>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</si>
  <si>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</si>
  <si>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</si>
  <si>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</si>
  <si>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</si>
  <si>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</si>
  <si>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</si>
  <si>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</si>
  <si>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</si>
  <si>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</si>
  <si>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</si>
  <si>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</si>
  <si>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</si>
  <si>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</si>
  <si>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</si>
  <si>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</si>
  <si>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</si>
  <si>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</si>
  <si>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</si>
  <si>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</si>
  <si>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</si>
  <si>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</si>
  <si>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</si>
  <si>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</si>
  <si>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</si>
  <si>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</si>
  <si>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</si>
  <si>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</si>
  <si>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</si>
  <si>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</si>
  <si>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</si>
  <si>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</si>
  <si>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</si>
  <si>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</si>
  <si>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</si>
  <si>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</si>
  <si>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</si>
  <si>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</si>
  <si>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</si>
  <si>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</si>
  <si>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</si>
  <si>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</si>
  <si>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</si>
  <si>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</si>
  <si>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</si>
  <si>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</si>
  <si>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</si>
  <si>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</si>
  <si>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</si>
  <si>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</si>
  <si>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</si>
  <si>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</si>
  <si>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</si>
  <si>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</si>
  <si>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</si>
  <si>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</si>
  <si>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</si>
  <si>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</si>
  <si>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</si>
  <si>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</si>
  <si>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</si>
  <si>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</si>
  <si>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</si>
  <si>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</si>
  <si>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</si>
  <si>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</si>
  <si>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</si>
  <si>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</si>
  <si>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</si>
  <si>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</si>
  <si>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</si>
  <si>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</si>
  <si>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</si>
  <si>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</si>
  <si>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</si>
  <si>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</si>
  <si>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</si>
  <si>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</si>
  <si>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</si>
  <si>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</si>
  <si>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</si>
  <si>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</si>
  <si>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</si>
  <si>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</si>
  <si>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</si>
  <si>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</si>
  <si>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</si>
  <si>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</si>
  <si>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</si>
  <si>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</si>
  <si>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</si>
  <si>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</si>
  <si>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</si>
  <si>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</si>
  <si>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</si>
  <si>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</si>
  <si>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</si>
  <si>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</si>
  <si>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</si>
  <si>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</si>
  <si>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</si>
  <si>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</si>
  <si>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</si>
  <si>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</si>
  <si>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</si>
  <si>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</si>
  <si>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</si>
  <si>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</si>
  <si>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</si>
  <si>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</si>
  <si>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</si>
  <si>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</si>
  <si>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</si>
  <si>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</si>
  <si>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</si>
  <si>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</si>
  <si>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</si>
  <si>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</si>
  <si>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</si>
  <si>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</si>
  <si>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</si>
  <si>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</si>
  <si>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</si>
  <si>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</si>
  <si>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</si>
  <si>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</si>
  <si>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</si>
  <si>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</si>
  <si>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</si>
  <si>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</si>
  <si>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</si>
  <si>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</si>
  <si>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Finance costs</t>
  </si>
  <si>
    <t>- Basic</t>
  </si>
  <si>
    <t>- Diluted</t>
  </si>
  <si>
    <t>(AUDITED)</t>
  </si>
  <si>
    <t>QUARTER ENDED</t>
  </si>
  <si>
    <t>Inventories</t>
  </si>
  <si>
    <t>Deferred Taxation</t>
  </si>
  <si>
    <t>Share Premium</t>
  </si>
  <si>
    <t>Property, Plant and Equipment</t>
  </si>
  <si>
    <t>Current Liabilities</t>
  </si>
  <si>
    <t>Hire Purchase Payables</t>
  </si>
  <si>
    <t>Bank Borrowings</t>
  </si>
  <si>
    <t>Retained Profit</t>
  </si>
  <si>
    <t>Non-Current Liabilities</t>
  </si>
  <si>
    <t>Term Loan</t>
  </si>
  <si>
    <t>YEAR TO DATE</t>
  </si>
  <si>
    <t>ENDED</t>
  </si>
  <si>
    <t>Capital Reserve</t>
  </si>
  <si>
    <t>Equity holders of the parent</t>
  </si>
  <si>
    <t>Net assets per share attributable to ordinary equity</t>
  </si>
  <si>
    <t xml:space="preserve">  holders of the parent (sen)</t>
  </si>
  <si>
    <t>ES CERAMICS TECHNOLOGY BHD</t>
  </si>
  <si>
    <t>Company No. 627117-P</t>
  </si>
  <si>
    <t xml:space="preserve">CURRENT </t>
  </si>
  <si>
    <t>PRECEDING YEAR</t>
  </si>
  <si>
    <t>Adjustments for :-</t>
  </si>
  <si>
    <t>Changes in working capital:</t>
  </si>
  <si>
    <t>Income tax paid</t>
  </si>
  <si>
    <t>Cash flows from investing activities</t>
  </si>
  <si>
    <t>Purchase of property, plant and equipment</t>
  </si>
  <si>
    <t>Development costs incurred</t>
  </si>
  <si>
    <t>Proceeds from disposal of property, plant and equipment</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</si>
  <si>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</si>
  <si>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</si>
  <si>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</si>
  <si>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</si>
  <si>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</si>
  <si>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</si>
  <si>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Cash and cash equivalents at end of period</t>
  </si>
  <si>
    <t xml:space="preserve">CONDENSED CONSOLIDATED STATEMENTS OF CHANGES IN EQUITY </t>
  </si>
  <si>
    <t>Drawdown / (Repayment) of hire purchase</t>
  </si>
  <si>
    <t>Cash and cash equivalent comprises of:</t>
  </si>
  <si>
    <t xml:space="preserve"> - Cash and bank balances</t>
  </si>
  <si>
    <t>(UNAUDITED)</t>
  </si>
  <si>
    <t>Trade &amp; Other Receivables</t>
  </si>
  <si>
    <t>TOTAL ASSETS</t>
  </si>
  <si>
    <t>ASSETS</t>
  </si>
  <si>
    <t xml:space="preserve">EQUITY AND LIABILITIES </t>
  </si>
  <si>
    <t>Non-Current Assets</t>
  </si>
  <si>
    <t>Intangible Assets</t>
  </si>
  <si>
    <t>Securities Held-to-Maturity</t>
  </si>
  <si>
    <t>TOTAL EQUITY</t>
  </si>
  <si>
    <t>LIABILITIES</t>
  </si>
  <si>
    <t>TOTAL LIABILITIES</t>
  </si>
  <si>
    <t xml:space="preserve">TOTAL EQUITY AND LIABILITIES </t>
  </si>
  <si>
    <t>Current Tax Asset</t>
  </si>
  <si>
    <t>Cash and Cash Equivalents</t>
  </si>
  <si>
    <t>Current Tax Payable</t>
  </si>
  <si>
    <t>Trade and Other Payables</t>
  </si>
  <si>
    <t xml:space="preserve"> - Fixed Deposits</t>
  </si>
  <si>
    <t>As reported in the balance sheets</t>
  </si>
  <si>
    <t>As reported in cash flow statements</t>
  </si>
  <si>
    <r>
      <t>Less</t>
    </r>
    <r>
      <rPr>
        <sz val="10"/>
        <rFont val="Arial"/>
        <family val="2"/>
      </rPr>
      <t xml:space="preserve"> : Fixed deposits pledged as security</t>
    </r>
  </si>
  <si>
    <t>CONDENSED CONSOLIDATED STATEMENT OF FINANCIAL POSITION</t>
  </si>
  <si>
    <t xml:space="preserve">AS AT </t>
  </si>
  <si>
    <t>Equity Attributable to Equity Holders of the Parent</t>
  </si>
  <si>
    <t xml:space="preserve">Non-controlling interest </t>
  </si>
  <si>
    <t>(The condensed consolidated Statement of Financial Position should be read in conjunction with the Audited Financial Statement for the year ended 31 May 2010)</t>
  </si>
  <si>
    <t>CONDENSED CONSOLIDATED STATEMENT OF CASH FLOWS</t>
  </si>
  <si>
    <t>Depreciation, amortisation and impairment losses</t>
  </si>
  <si>
    <t>Interest income and expenses</t>
  </si>
  <si>
    <t>Other non-cash items</t>
  </si>
  <si>
    <t>Operating profit before changes in working capital</t>
  </si>
  <si>
    <t>Cash flow from operations</t>
  </si>
  <si>
    <t>Net change in inventories</t>
  </si>
  <si>
    <t>Net change in receivables</t>
  </si>
  <si>
    <t>Net change in payables</t>
  </si>
  <si>
    <t>Net cash flows from operating activities</t>
  </si>
  <si>
    <t>Net cash flows from financing activities</t>
  </si>
  <si>
    <t>Effect of changes in foreign exchange rates</t>
  </si>
  <si>
    <t>Cash and cash equivalents at beginning of the year</t>
  </si>
  <si>
    <t>(The condensed consolidated Statement of Cash Flows should be read in conjunction with the Audited Financial Statement for the year ended 31 May 2010)</t>
  </si>
  <si>
    <t>(The condensed consolidated Statement of changes in Equity should be read in conjunction with the Audited Financial Statement for the year ended 31 May 2010)</t>
  </si>
  <si>
    <t xml:space="preserve">CONDENSED CONSOLIDATED STATEMENTS OF COMPREHENSIVE INCOME </t>
  </si>
  <si>
    <t>Profit for the period</t>
  </si>
  <si>
    <t>Profit Attributable to :</t>
  </si>
  <si>
    <t xml:space="preserve">Non-Controlling Interest </t>
  </si>
  <si>
    <t>(The condensed consolidated Statement of Comprehensive Income should be read in conjunction with the Audited Financial Statement for the year ended 31 May 2010)</t>
  </si>
  <si>
    <t>Total comprehensive income for the period</t>
  </si>
  <si>
    <t xml:space="preserve">Issue of Shares </t>
  </si>
  <si>
    <t>Dividends paid</t>
  </si>
  <si>
    <t>Balance at 1 Jun 2009</t>
  </si>
  <si>
    <t>Balance at 1 Jun 2010</t>
  </si>
  <si>
    <t>Effects of applying FRS 139</t>
  </si>
  <si>
    <t>Restated balance</t>
  </si>
  <si>
    <t>Foreign exchange translation difference</t>
  </si>
  <si>
    <t>Other comprehensive income :</t>
  </si>
  <si>
    <t>Total comprehensive income attributable to:</t>
  </si>
  <si>
    <t>Exchange Reserve</t>
  </si>
  <si>
    <t>Attributable to Owners of the Parent</t>
  </si>
  <si>
    <t>Non-controlling Interest</t>
  </si>
  <si>
    <t>Total Equity</t>
  </si>
  <si>
    <t>Defraying cost of corporate exercise</t>
  </si>
  <si>
    <t>For the Corresponding Quarter Ended 30 November 2009</t>
  </si>
  <si>
    <t xml:space="preserve">           Bank overdrafts </t>
  </si>
  <si>
    <t>Operating profit</t>
  </si>
  <si>
    <t>Balance at 28 Feb 2010</t>
  </si>
  <si>
    <t>FOR THE QUARTER ENDED 28 FEBRUARY 2011</t>
  </si>
  <si>
    <t>AS AT 28 FEBRUARY 2011</t>
  </si>
  <si>
    <t>Balance at 28 Feb 2011</t>
  </si>
  <si>
    <t>FOR THE PERIOD ENDED 28 FEBRUARY 2011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</si>
</sst>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t&quot;฿&quot;#,##0_);\(\t&quot;฿&quot;#,##0\)"/>
    <numFmt numFmtId="179" formatCode="\t&quot;฿&quot;#,##0_);[Red]\(\t&quot;฿&quot;#,##0\)"/>
    <numFmt numFmtId="180" formatCode="\t&quot;฿&quot;#,##0.00_);\(\t&quot;฿&quot;#,##0.00\)"/>
    <numFmt numFmtId="181" formatCode="\t&quot;฿&quot;#,##0.00_);[Red]\(\t&quot;฿&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409]d\-mmm\-yy;@"/>
    <numFmt numFmtId="187" formatCode="_(* #,##0_);_(* \(#,##0\);_(* \-_);_(@_)"/>
    <numFmt numFmtId="188" formatCode="_(* #,##0.0_);_(* \(#,##0.0\);_(* &quot;-&quot;?_);_(@_)"/>
  </numFmts>
  <fonts count="54">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sz val="10"/>
      <color indexed="8"/>
      <name val="Arial"/>
      <family val="0"/>
    </font>
    <font>
      <u val="single"/>
      <sz val="11"/>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18"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10">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85" fontId="0" fillId="0" borderId="0" xfId="42" applyNumberFormat="1" applyFont="1" applyAlignment="1">
      <alignment/>
    </xf>
    <xf numFmtId="185" fontId="3"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12" xfId="42" applyNumberFormat="1" applyFont="1" applyBorder="1" applyAlignment="1">
      <alignment/>
    </xf>
    <xf numFmtId="185" fontId="0" fillId="0" borderId="13" xfId="42" applyNumberFormat="1" applyFont="1" applyBorder="1" applyAlignment="1">
      <alignment/>
    </xf>
    <xf numFmtId="0" fontId="0" fillId="0" borderId="0" xfId="0" applyFont="1" applyAlignment="1">
      <alignment/>
    </xf>
    <xf numFmtId="185" fontId="0" fillId="0" borderId="14" xfId="42" applyNumberFormat="1" applyFont="1" applyBorder="1" applyAlignment="1">
      <alignment/>
    </xf>
    <xf numFmtId="185" fontId="0" fillId="0" borderId="14" xfId="42" applyNumberFormat="1" applyFont="1" applyBorder="1" applyAlignment="1">
      <alignment/>
    </xf>
    <xf numFmtId="185" fontId="0" fillId="0" borderId="0" xfId="42" applyNumberFormat="1" applyFont="1" applyAlignment="1">
      <alignment/>
    </xf>
    <xf numFmtId="43" fontId="0" fillId="0" borderId="0" xfId="0" applyNumberFormat="1" applyAlignment="1">
      <alignment/>
    </xf>
    <xf numFmtId="185" fontId="0" fillId="0" borderId="0" xfId="0" applyNumberFormat="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85"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5"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5" fontId="0" fillId="0" borderId="0" xfId="42" applyNumberFormat="1" applyFont="1" applyBorder="1" applyAlignment="1">
      <alignment/>
    </xf>
    <xf numFmtId="185"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85" fontId="2" fillId="0" borderId="0" xfId="42" applyNumberFormat="1" applyFont="1" applyAlignment="1">
      <alignment horizontal="center"/>
    </xf>
    <xf numFmtId="0" fontId="2" fillId="0" borderId="0" xfId="0" applyFont="1" applyAlignment="1" quotePrefix="1">
      <alignment horizontal="left"/>
    </xf>
    <xf numFmtId="185"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5" fontId="0" fillId="0" borderId="13" xfId="42" applyNumberFormat="1" applyFont="1" applyBorder="1" applyAlignment="1">
      <alignment horizontal="justify"/>
    </xf>
    <xf numFmtId="185"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85" fontId="6" fillId="0" borderId="0" xfId="42" applyNumberFormat="1" applyFont="1" applyAlignment="1">
      <alignment/>
    </xf>
    <xf numFmtId="0" fontId="6" fillId="0" borderId="0" xfId="0" applyFont="1" applyAlignment="1">
      <alignment horizontal="left"/>
    </xf>
    <xf numFmtId="185" fontId="14" fillId="0" borderId="0" xfId="42" applyNumberFormat="1" applyFont="1" applyAlignment="1">
      <alignment/>
    </xf>
    <xf numFmtId="185"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5"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85" fontId="0" fillId="0" borderId="0" xfId="0" applyNumberFormat="1" applyFont="1" applyAlignment="1">
      <alignment/>
    </xf>
    <xf numFmtId="185"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5" fontId="17" fillId="0" borderId="0" xfId="42" applyNumberFormat="1" applyFont="1" applyAlignment="1">
      <alignment/>
    </xf>
    <xf numFmtId="185"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85"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85" fontId="2" fillId="0" borderId="0" xfId="42" applyNumberFormat="1" applyFont="1" applyAlignment="1" quotePrefix="1">
      <alignment horizontal="center"/>
    </xf>
    <xf numFmtId="185" fontId="0" fillId="0" borderId="0" xfId="42" applyNumberFormat="1" applyFont="1" applyAlignment="1">
      <alignment horizontal="right"/>
    </xf>
    <xf numFmtId="185" fontId="2" fillId="0" borderId="0" xfId="42" applyNumberFormat="1" applyFont="1" applyAlignment="1">
      <alignment/>
    </xf>
    <xf numFmtId="185"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5" fontId="0" fillId="0" borderId="0" xfId="42" applyNumberFormat="1" applyFont="1" applyFill="1" applyAlignment="1">
      <alignment/>
    </xf>
    <xf numFmtId="185" fontId="0" fillId="0" borderId="14" xfId="42" applyNumberFormat="1" applyFont="1" applyFill="1" applyBorder="1" applyAlignment="1">
      <alignment/>
    </xf>
    <xf numFmtId="0" fontId="0" fillId="0" borderId="0" xfId="57" applyFont="1" applyFill="1" applyAlignment="1">
      <alignment horizontal="left" vertical="center"/>
      <protection/>
    </xf>
    <xf numFmtId="185" fontId="0" fillId="0" borderId="0" xfId="42" applyNumberFormat="1" applyFont="1" applyFill="1" applyBorder="1" applyAlignment="1">
      <alignment/>
    </xf>
    <xf numFmtId="185" fontId="0" fillId="0" borderId="13" xfId="0" applyNumberFormat="1" applyFont="1" applyBorder="1" applyAlignment="1">
      <alignment/>
    </xf>
    <xf numFmtId="0" fontId="10" fillId="0" borderId="0" xfId="0" applyFont="1" applyAlignment="1">
      <alignment/>
    </xf>
    <xf numFmtId="185" fontId="0" fillId="0" borderId="0" xfId="42" applyNumberFormat="1" applyFont="1" applyFill="1" applyAlignment="1">
      <alignment/>
    </xf>
    <xf numFmtId="185" fontId="3" fillId="0" borderId="0" xfId="42" applyNumberFormat="1" applyFont="1" applyFill="1" applyAlignment="1">
      <alignment horizontal="center"/>
    </xf>
    <xf numFmtId="43" fontId="0" fillId="0" borderId="14" xfId="42" applyFont="1" applyBorder="1" applyAlignment="1">
      <alignment/>
    </xf>
    <xf numFmtId="185" fontId="6" fillId="0" borderId="0" xfId="42" applyNumberFormat="1" applyFont="1" applyFill="1" applyAlignment="1">
      <alignment/>
    </xf>
    <xf numFmtId="185" fontId="0" fillId="0" borderId="0" xfId="42" applyNumberFormat="1" applyFont="1" applyFill="1" applyBorder="1" applyAlignment="1">
      <alignment/>
    </xf>
    <xf numFmtId="185" fontId="0" fillId="0" borderId="14" xfId="42" applyNumberFormat="1" applyFont="1" applyFill="1" applyBorder="1" applyAlignment="1">
      <alignment/>
    </xf>
    <xf numFmtId="185" fontId="0" fillId="0" borderId="0" xfId="42" applyNumberFormat="1" applyFont="1" applyFill="1" applyAlignment="1">
      <alignment/>
    </xf>
    <xf numFmtId="185" fontId="6" fillId="0" borderId="0" xfId="42" applyNumberFormat="1" applyFont="1" applyFill="1" applyAlignment="1">
      <alignment/>
    </xf>
    <xf numFmtId="185" fontId="6" fillId="0" borderId="16" xfId="42" applyNumberFormat="1" applyFont="1" applyFill="1" applyBorder="1" applyAlignment="1">
      <alignment/>
    </xf>
    <xf numFmtId="185" fontId="17" fillId="0" borderId="0" xfId="42" applyNumberFormat="1" applyFont="1" applyFill="1" applyAlignment="1">
      <alignment/>
    </xf>
    <xf numFmtId="185" fontId="0" fillId="0" borderId="14" xfId="42" applyNumberFormat="1" applyFont="1" applyBorder="1" applyAlignment="1">
      <alignment/>
    </xf>
    <xf numFmtId="43" fontId="6" fillId="0" borderId="0" xfId="0" applyNumberFormat="1" applyFont="1" applyAlignment="1">
      <alignment/>
    </xf>
    <xf numFmtId="185" fontId="0" fillId="24" borderId="14" xfId="42" applyNumberFormat="1" applyFont="1" applyFill="1" applyBorder="1" applyAlignment="1">
      <alignment/>
    </xf>
    <xf numFmtId="185" fontId="0" fillId="24"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85"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85" fontId="6" fillId="0" borderId="0" xfId="42" applyNumberFormat="1" applyFont="1" applyFill="1" applyBorder="1" applyAlignment="1">
      <alignment/>
    </xf>
    <xf numFmtId="185"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85"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85" fontId="0" fillId="0" borderId="0" xfId="42" applyNumberFormat="1" applyAlignment="1">
      <alignment/>
    </xf>
    <xf numFmtId="185" fontId="0" fillId="0" borderId="0" xfId="42" applyNumberFormat="1" applyFont="1" applyAlignment="1">
      <alignment/>
    </xf>
    <xf numFmtId="185" fontId="0" fillId="0" borderId="0" xfId="42" applyNumberFormat="1" applyBorder="1" applyAlignment="1">
      <alignment/>
    </xf>
    <xf numFmtId="185" fontId="0" fillId="0" borderId="14" xfId="42" applyNumberFormat="1" applyBorder="1" applyAlignment="1">
      <alignment/>
    </xf>
    <xf numFmtId="185" fontId="0" fillId="0" borderId="16" xfId="42" applyNumberFormat="1" applyBorder="1" applyAlignment="1">
      <alignment/>
    </xf>
    <xf numFmtId="185"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85" fontId="4" fillId="0" borderId="0" xfId="0" applyNumberFormat="1" applyFont="1" applyAlignment="1">
      <alignment/>
    </xf>
    <xf numFmtId="185" fontId="21" fillId="0" borderId="0" xfId="0" applyNumberFormat="1" applyFont="1" applyAlignment="1" quotePrefix="1">
      <alignment horizontal="left"/>
    </xf>
    <xf numFmtId="185" fontId="22" fillId="0" borderId="0" xfId="0" applyNumberFormat="1" applyFont="1" applyAlignment="1">
      <alignment/>
    </xf>
    <xf numFmtId="185" fontId="22" fillId="0" borderId="0" xfId="42" applyNumberFormat="1" applyFont="1" applyAlignment="1">
      <alignment horizontal="right"/>
    </xf>
    <xf numFmtId="185" fontId="22" fillId="0" borderId="0" xfId="42" applyNumberFormat="1" applyFont="1" applyAlignment="1">
      <alignment horizontal="center"/>
    </xf>
    <xf numFmtId="185" fontId="22" fillId="0" borderId="0" xfId="42" applyNumberFormat="1" applyFont="1" applyAlignment="1">
      <alignment horizontal="left"/>
    </xf>
    <xf numFmtId="185" fontId="22" fillId="0" borderId="0" xfId="42" applyNumberFormat="1" applyFont="1" applyAlignment="1">
      <alignment/>
    </xf>
    <xf numFmtId="185" fontId="22" fillId="0" borderId="0" xfId="42" applyNumberFormat="1" applyFont="1" applyFill="1" applyAlignment="1">
      <alignment horizontal="left"/>
    </xf>
    <xf numFmtId="185" fontId="22" fillId="0" borderId="0" xfId="0" applyNumberFormat="1" applyFont="1" applyAlignment="1">
      <alignment horizontal="left"/>
    </xf>
    <xf numFmtId="185" fontId="4" fillId="0" borderId="0" xfId="0" applyNumberFormat="1" applyFont="1" applyAlignment="1">
      <alignment horizontal="left"/>
    </xf>
    <xf numFmtId="185" fontId="22" fillId="0" borderId="0" xfId="0" applyNumberFormat="1" applyFont="1" applyBorder="1" applyAlignment="1">
      <alignment horizontal="center"/>
    </xf>
    <xf numFmtId="185" fontId="22" fillId="0" borderId="0" xfId="42" applyNumberFormat="1" applyFont="1" applyBorder="1" applyAlignment="1">
      <alignment horizontal="right"/>
    </xf>
    <xf numFmtId="185" fontId="22" fillId="0" borderId="0" xfId="42" applyNumberFormat="1" applyFont="1" applyBorder="1" applyAlignment="1">
      <alignment horizontal="center"/>
    </xf>
    <xf numFmtId="185" fontId="22" fillId="0" borderId="0" xfId="42" applyNumberFormat="1" applyFont="1" applyFill="1" applyBorder="1" applyAlignment="1">
      <alignment horizontal="center"/>
    </xf>
    <xf numFmtId="185" fontId="22" fillId="0" borderId="0" xfId="0" applyNumberFormat="1" applyFont="1" applyBorder="1" applyAlignment="1">
      <alignment/>
    </xf>
    <xf numFmtId="185" fontId="22" fillId="0" borderId="0" xfId="42" applyNumberFormat="1" applyFont="1" applyBorder="1" applyAlignment="1">
      <alignment/>
    </xf>
    <xf numFmtId="0" fontId="22" fillId="0" borderId="0" xfId="42" applyNumberFormat="1" applyFont="1" applyBorder="1" applyAlignment="1">
      <alignment horizontal="center"/>
    </xf>
    <xf numFmtId="185" fontId="22" fillId="0" borderId="0" xfId="0" applyNumberFormat="1" applyFont="1" applyBorder="1" applyAlignment="1">
      <alignment horizontal="left"/>
    </xf>
    <xf numFmtId="1" fontId="22" fillId="0" borderId="0" xfId="42" applyNumberFormat="1" applyFont="1" applyBorder="1" applyAlignment="1">
      <alignment horizontal="center"/>
    </xf>
    <xf numFmtId="185" fontId="22" fillId="0" borderId="0" xfId="42" applyNumberFormat="1" applyFont="1" applyBorder="1" applyAlignment="1">
      <alignment/>
    </xf>
    <xf numFmtId="185" fontId="22" fillId="0" borderId="0" xfId="42" applyNumberFormat="1" applyFont="1" applyFill="1" applyBorder="1" applyAlignment="1">
      <alignment horizontal="right"/>
    </xf>
    <xf numFmtId="185" fontId="22" fillId="0" borderId="0" xfId="0" applyNumberFormat="1" applyFont="1" applyAlignment="1">
      <alignment horizontal="right"/>
    </xf>
    <xf numFmtId="185" fontId="22" fillId="0" borderId="0" xfId="42" applyNumberFormat="1" applyFont="1" applyAlignment="1" quotePrefix="1">
      <alignment horizontal="center"/>
    </xf>
    <xf numFmtId="185" fontId="24" fillId="0" borderId="0" xfId="0" applyNumberFormat="1" applyFont="1" applyAlignment="1">
      <alignment horizontal="left"/>
    </xf>
    <xf numFmtId="185" fontId="22" fillId="0" borderId="0" xfId="42" applyNumberFormat="1" applyFont="1" applyAlignment="1">
      <alignment/>
    </xf>
    <xf numFmtId="185" fontId="22" fillId="0" borderId="26" xfId="42" applyNumberFormat="1" applyFont="1" applyBorder="1" applyAlignment="1">
      <alignment horizontal="right"/>
    </xf>
    <xf numFmtId="185" fontId="4" fillId="0" borderId="27" xfId="42" applyNumberFormat="1" applyFont="1" applyBorder="1" applyAlignment="1">
      <alignment horizontal="right"/>
    </xf>
    <xf numFmtId="185" fontId="4" fillId="0" borderId="0" xfId="42" applyNumberFormat="1" applyFont="1" applyBorder="1" applyAlignment="1">
      <alignment horizontal="right"/>
    </xf>
    <xf numFmtId="185" fontId="22" fillId="0" borderId="0" xfId="0" applyNumberFormat="1" applyFont="1" applyAlignment="1" quotePrefix="1">
      <alignment horizontal="left"/>
    </xf>
    <xf numFmtId="185" fontId="22" fillId="0" borderId="13" xfId="42" applyNumberFormat="1" applyFont="1" applyBorder="1" applyAlignment="1">
      <alignment horizontal="right"/>
    </xf>
    <xf numFmtId="185" fontId="22" fillId="0" borderId="0" xfId="42" applyNumberFormat="1" applyFont="1" applyFill="1" applyAlignment="1">
      <alignment/>
    </xf>
    <xf numFmtId="185" fontId="22" fillId="0" borderId="28" xfId="0" applyNumberFormat="1" applyFont="1" applyBorder="1" applyAlignment="1">
      <alignment horizontal="left"/>
    </xf>
    <xf numFmtId="185" fontId="22" fillId="0" borderId="26" xfId="0" applyNumberFormat="1" applyFont="1" applyBorder="1" applyAlignment="1">
      <alignment/>
    </xf>
    <xf numFmtId="185" fontId="22" fillId="0" borderId="26" xfId="0" applyNumberFormat="1" applyFont="1" applyBorder="1" applyAlignment="1">
      <alignment horizontal="left"/>
    </xf>
    <xf numFmtId="0" fontId="22" fillId="0" borderId="26" xfId="42" applyNumberFormat="1" applyFont="1" applyBorder="1" applyAlignment="1">
      <alignment horizontal="center"/>
    </xf>
    <xf numFmtId="185" fontId="22" fillId="0" borderId="29" xfId="0" applyNumberFormat="1" applyFont="1" applyBorder="1" applyAlignment="1">
      <alignment horizontal="left"/>
    </xf>
    <xf numFmtId="185" fontId="4" fillId="0" borderId="0" xfId="42" applyNumberFormat="1" applyFont="1" applyBorder="1" applyAlignment="1">
      <alignment horizontal="center"/>
    </xf>
    <xf numFmtId="185" fontId="25" fillId="0" borderId="0" xfId="42" applyNumberFormat="1" applyFont="1" applyBorder="1" applyAlignment="1">
      <alignment horizontal="right"/>
    </xf>
    <xf numFmtId="185" fontId="22" fillId="0" borderId="0" xfId="42" applyNumberFormat="1" applyFont="1" applyFill="1" applyAlignment="1">
      <alignment/>
    </xf>
    <xf numFmtId="185" fontId="22" fillId="0" borderId="14" xfId="42" applyNumberFormat="1" applyFont="1" applyBorder="1" applyAlignment="1">
      <alignment horizontal="right"/>
    </xf>
    <xf numFmtId="185" fontId="26" fillId="0" borderId="0" xfId="42" applyNumberFormat="1" applyFont="1" applyFill="1" applyAlignment="1">
      <alignment horizontal="right"/>
    </xf>
    <xf numFmtId="185" fontId="26" fillId="0" borderId="0" xfId="42" applyNumberFormat="1" applyFont="1" applyFill="1" applyAlignment="1">
      <alignment horizontal="left"/>
    </xf>
    <xf numFmtId="185" fontId="22" fillId="0" borderId="0" xfId="0" applyNumberFormat="1" applyFont="1" applyBorder="1" applyAlignment="1" quotePrefix="1">
      <alignment horizontal="left"/>
    </xf>
    <xf numFmtId="185" fontId="22" fillId="0" borderId="16" xfId="42" applyNumberFormat="1" applyFont="1" applyBorder="1" applyAlignment="1">
      <alignment horizontal="right"/>
    </xf>
    <xf numFmtId="185" fontId="22" fillId="0" borderId="13" xfId="42" applyNumberFormat="1" applyFont="1" applyBorder="1" applyAlignment="1">
      <alignment horizontal="center"/>
    </xf>
    <xf numFmtId="185" fontId="22" fillId="0" borderId="30" xfId="0" applyNumberFormat="1" applyFont="1" applyBorder="1" applyAlignment="1">
      <alignment horizontal="left"/>
    </xf>
    <xf numFmtId="185" fontId="22" fillId="0" borderId="14" xfId="0" applyNumberFormat="1" applyFont="1" applyBorder="1" applyAlignment="1">
      <alignment horizontal="left"/>
    </xf>
    <xf numFmtId="185" fontId="26" fillId="0" borderId="0" xfId="42" applyNumberFormat="1" applyFont="1" applyFill="1" applyAlignment="1">
      <alignment/>
    </xf>
    <xf numFmtId="185" fontId="26" fillId="0" borderId="0" xfId="42" applyNumberFormat="1" applyFont="1" applyFill="1" applyBorder="1" applyAlignment="1">
      <alignment/>
    </xf>
    <xf numFmtId="185" fontId="5" fillId="0" borderId="0" xfId="42" applyNumberFormat="1" applyFont="1" applyAlignment="1">
      <alignment horizontal="left"/>
    </xf>
    <xf numFmtId="185" fontId="11" fillId="0" borderId="0" xfId="42" applyNumberFormat="1" applyFont="1" applyAlignment="1">
      <alignment/>
    </xf>
    <xf numFmtId="185" fontId="11" fillId="0" borderId="0" xfId="42" applyNumberFormat="1" applyFont="1" applyBorder="1" applyAlignment="1">
      <alignment/>
    </xf>
    <xf numFmtId="185" fontId="11" fillId="0" borderId="0" xfId="42" applyNumberFormat="1" applyFont="1" applyFill="1" applyAlignment="1">
      <alignment/>
    </xf>
    <xf numFmtId="185" fontId="5" fillId="0" borderId="0" xfId="42" applyNumberFormat="1" applyFont="1" applyAlignment="1">
      <alignment horizontal="center"/>
    </xf>
    <xf numFmtId="185" fontId="5" fillId="0" borderId="0" xfId="42" applyNumberFormat="1" applyFont="1" applyBorder="1" applyAlignment="1">
      <alignment horizontal="center"/>
    </xf>
    <xf numFmtId="185" fontId="5" fillId="0" borderId="0" xfId="42" applyNumberFormat="1" applyFont="1" applyAlignment="1">
      <alignment/>
    </xf>
    <xf numFmtId="185" fontId="27" fillId="0" borderId="0" xfId="42" applyNumberFormat="1" applyFont="1" applyAlignment="1">
      <alignment horizontal="center"/>
    </xf>
    <xf numFmtId="185" fontId="5" fillId="0" borderId="0" xfId="42" applyNumberFormat="1" applyFont="1" applyFill="1" applyBorder="1" applyAlignment="1">
      <alignment horizontal="center"/>
    </xf>
    <xf numFmtId="185" fontId="5" fillId="0" borderId="0" xfId="42" applyNumberFormat="1" applyFont="1" applyFill="1" applyAlignment="1">
      <alignment horizontal="center"/>
    </xf>
    <xf numFmtId="185" fontId="5" fillId="22" borderId="20" xfId="42" applyNumberFormat="1" applyFont="1" applyFill="1" applyBorder="1" applyAlignment="1">
      <alignment horizontal="center"/>
    </xf>
    <xf numFmtId="185" fontId="11" fillId="0" borderId="0" xfId="42" applyNumberFormat="1" applyFont="1" applyBorder="1" applyAlignment="1">
      <alignment horizontal="center"/>
    </xf>
    <xf numFmtId="185" fontId="11" fillId="0" borderId="0" xfId="42" applyNumberFormat="1" applyFont="1" applyAlignment="1">
      <alignment horizontal="center"/>
    </xf>
    <xf numFmtId="185" fontId="11" fillId="0" borderId="0" xfId="42" applyNumberFormat="1" applyFont="1" applyFill="1" applyAlignment="1">
      <alignment horizontal="center"/>
    </xf>
    <xf numFmtId="185" fontId="5" fillId="22" borderId="23" xfId="42" applyNumberFormat="1" applyFont="1" applyFill="1" applyBorder="1" applyAlignment="1">
      <alignment horizontal="center"/>
    </xf>
    <xf numFmtId="185" fontId="28" fillId="0" borderId="0" xfId="42" applyNumberFormat="1" applyFont="1" applyAlignment="1">
      <alignment/>
    </xf>
    <xf numFmtId="185" fontId="5" fillId="0" borderId="0" xfId="42" applyNumberFormat="1" applyFont="1" applyBorder="1" applyAlignment="1">
      <alignment/>
    </xf>
    <xf numFmtId="185" fontId="5" fillId="22" borderId="23" xfId="42" applyNumberFormat="1" applyFont="1" applyFill="1" applyBorder="1" applyAlignment="1">
      <alignment/>
    </xf>
    <xf numFmtId="185" fontId="11" fillId="0" borderId="0" xfId="42" applyNumberFormat="1" applyFont="1" applyFill="1" applyBorder="1" applyAlignment="1">
      <alignment/>
    </xf>
    <xf numFmtId="185" fontId="5" fillId="22" borderId="23" xfId="42" applyNumberFormat="1" applyFont="1" applyFill="1" applyBorder="1" applyAlignment="1">
      <alignment horizontal="right"/>
    </xf>
    <xf numFmtId="185" fontId="11" fillId="0" borderId="0" xfId="42" applyNumberFormat="1" applyFont="1" applyBorder="1" applyAlignment="1">
      <alignment horizontal="right"/>
    </xf>
    <xf numFmtId="185" fontId="11" fillId="0" borderId="14" xfId="42" applyNumberFormat="1" applyFont="1" applyFill="1" applyBorder="1" applyAlignment="1">
      <alignment/>
    </xf>
    <xf numFmtId="185" fontId="11" fillId="0" borderId="26" xfId="42" applyNumberFormat="1" applyFont="1" applyBorder="1" applyAlignment="1">
      <alignment/>
    </xf>
    <xf numFmtId="185" fontId="11" fillId="0" borderId="0" xfId="42" applyNumberFormat="1" applyFont="1" applyFill="1" applyBorder="1" applyAlignment="1">
      <alignment horizontal="right"/>
    </xf>
    <xf numFmtId="185" fontId="5" fillId="22" borderId="31" xfId="42" applyNumberFormat="1" applyFont="1" applyFill="1" applyBorder="1" applyAlignment="1">
      <alignment horizontal="right"/>
    </xf>
    <xf numFmtId="185" fontId="11" fillId="0" borderId="14" xfId="42" applyNumberFormat="1" applyFont="1" applyBorder="1" applyAlignment="1">
      <alignment/>
    </xf>
    <xf numFmtId="185" fontId="11" fillId="0" borderId="14" xfId="42" applyNumberFormat="1" applyFont="1" applyFill="1" applyBorder="1" applyAlignment="1">
      <alignment horizontal="right"/>
    </xf>
    <xf numFmtId="185" fontId="5" fillId="22" borderId="32" xfId="0" applyNumberFormat="1" applyFont="1" applyFill="1" applyBorder="1" applyAlignment="1">
      <alignment/>
    </xf>
    <xf numFmtId="0" fontId="2" fillId="22" borderId="31" xfId="0" applyFont="1" applyFill="1" applyBorder="1" applyAlignment="1">
      <alignment/>
    </xf>
    <xf numFmtId="185" fontId="11" fillId="0" borderId="14" xfId="0" applyNumberFormat="1" applyFont="1" applyBorder="1" applyAlignment="1">
      <alignment/>
    </xf>
    <xf numFmtId="0" fontId="11" fillId="0" borderId="0" xfId="0" applyFont="1" applyBorder="1" applyAlignment="1">
      <alignment/>
    </xf>
    <xf numFmtId="0" fontId="2" fillId="22" borderId="23" xfId="0" applyFont="1" applyFill="1" applyBorder="1" applyAlignment="1">
      <alignment/>
    </xf>
    <xf numFmtId="0" fontId="11" fillId="0" borderId="0" xfId="42" applyNumberFormat="1" applyFont="1" applyAlignment="1" quotePrefix="1">
      <alignment horizontal="left"/>
    </xf>
    <xf numFmtId="185" fontId="11" fillId="0" borderId="16" xfId="42" applyNumberFormat="1" applyFont="1" applyBorder="1" applyAlignment="1">
      <alignment/>
    </xf>
    <xf numFmtId="185" fontId="11" fillId="0" borderId="16" xfId="42" applyNumberFormat="1" applyFont="1" applyFill="1" applyBorder="1" applyAlignment="1">
      <alignment/>
    </xf>
    <xf numFmtId="185" fontId="5" fillId="22"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22" borderId="21" xfId="0" applyFont="1" applyFill="1" applyBorder="1" applyAlignment="1">
      <alignment/>
    </xf>
    <xf numFmtId="185" fontId="5" fillId="0" borderId="0" xfId="42" applyNumberFormat="1" applyFont="1" applyFill="1" applyAlignment="1">
      <alignment/>
    </xf>
    <xf numFmtId="185" fontId="5" fillId="22" borderId="20" xfId="42" applyNumberFormat="1" applyFont="1" applyFill="1" applyBorder="1" applyAlignment="1">
      <alignment/>
    </xf>
    <xf numFmtId="185" fontId="28" fillId="0" borderId="0" xfId="42" applyNumberFormat="1" applyFont="1" applyFill="1" applyBorder="1" applyAlignment="1">
      <alignment horizontal="center"/>
    </xf>
    <xf numFmtId="185" fontId="11" fillId="7" borderId="14" xfId="42" applyNumberFormat="1" applyFont="1" applyFill="1" applyBorder="1" applyAlignment="1">
      <alignment/>
    </xf>
    <xf numFmtId="185" fontId="28" fillId="0" borderId="0" xfId="0" applyNumberFormat="1" applyFont="1" applyBorder="1" applyAlignment="1">
      <alignment horizontal="center"/>
    </xf>
    <xf numFmtId="185" fontId="28" fillId="0" borderId="0" xfId="42" applyNumberFormat="1" applyFont="1" applyBorder="1" applyAlignment="1">
      <alignment horizontal="center"/>
    </xf>
    <xf numFmtId="185" fontId="5" fillId="22" borderId="32" xfId="42" applyNumberFormat="1" applyFont="1" applyFill="1" applyBorder="1" applyAlignment="1">
      <alignment horizontal="right"/>
    </xf>
    <xf numFmtId="185" fontId="27" fillId="22" borderId="23" xfId="42" applyNumberFormat="1" applyFont="1" applyFill="1" applyBorder="1" applyAlignment="1">
      <alignment horizontal="right"/>
    </xf>
    <xf numFmtId="185"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85"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85" fontId="30" fillId="0" borderId="0" xfId="0" applyNumberFormat="1" applyFont="1" applyBorder="1" applyAlignment="1">
      <alignment/>
    </xf>
    <xf numFmtId="0" fontId="29" fillId="0" borderId="0" xfId="0" applyFont="1" applyAlignment="1">
      <alignment/>
    </xf>
    <xf numFmtId="0" fontId="31" fillId="22" borderId="23" xfId="0" applyFont="1" applyFill="1" applyBorder="1" applyAlignment="1">
      <alignment/>
    </xf>
    <xf numFmtId="0" fontId="2" fillId="0" borderId="0" xfId="0" applyFont="1" applyFill="1" applyBorder="1" applyAlignment="1">
      <alignment/>
    </xf>
    <xf numFmtId="185" fontId="2" fillId="0" borderId="0" xfId="42" applyNumberFormat="1" applyFont="1" applyAlignment="1">
      <alignment horizontal="left"/>
    </xf>
    <xf numFmtId="185" fontId="0" fillId="0" borderId="0" xfId="42" applyNumberFormat="1" applyFill="1" applyAlignment="1">
      <alignment/>
    </xf>
    <xf numFmtId="185" fontId="2" fillId="0" borderId="0" xfId="42" applyNumberFormat="1" applyFont="1" applyFill="1" applyAlignment="1">
      <alignment horizontal="center"/>
    </xf>
    <xf numFmtId="185" fontId="0" fillId="0" borderId="0" xfId="42" applyNumberFormat="1" applyFont="1" applyAlignment="1">
      <alignment horizontal="center"/>
    </xf>
    <xf numFmtId="185" fontId="0" fillId="0" borderId="0" xfId="42" applyNumberFormat="1" applyFont="1" applyFill="1" applyAlignment="1">
      <alignment horizontal="center"/>
    </xf>
    <xf numFmtId="185" fontId="0" fillId="0" borderId="0" xfId="42" applyNumberFormat="1" applyFont="1" applyAlignment="1">
      <alignment horizontal="left"/>
    </xf>
    <xf numFmtId="185" fontId="0" fillId="0" borderId="14" xfId="42" applyNumberFormat="1" applyFont="1" applyBorder="1" applyAlignment="1">
      <alignment horizontal="center"/>
    </xf>
    <xf numFmtId="185" fontId="2" fillId="0" borderId="14" xfId="42" applyNumberFormat="1" applyFont="1" applyFill="1" applyBorder="1" applyAlignment="1">
      <alignment horizontal="center"/>
    </xf>
    <xf numFmtId="185" fontId="0" fillId="0" borderId="0" xfId="42" applyNumberFormat="1" applyFont="1" applyAlignment="1" quotePrefix="1">
      <alignment horizontal="left"/>
    </xf>
    <xf numFmtId="185" fontId="0" fillId="0" borderId="0" xfId="42" applyNumberFormat="1" applyFont="1" applyBorder="1" applyAlignment="1">
      <alignment horizontal="center"/>
    </xf>
    <xf numFmtId="185" fontId="0" fillId="0" borderId="0" xfId="42" applyNumberFormat="1" applyFont="1" applyFill="1" applyBorder="1" applyAlignment="1">
      <alignment horizontal="center"/>
    </xf>
    <xf numFmtId="185" fontId="0" fillId="0" borderId="16" xfId="42" applyNumberFormat="1" applyFont="1" applyBorder="1" applyAlignment="1">
      <alignment horizontal="center"/>
    </xf>
    <xf numFmtId="185" fontId="0" fillId="0" borderId="26" xfId="42" applyNumberFormat="1" applyFont="1" applyBorder="1" applyAlignment="1">
      <alignment horizontal="center"/>
    </xf>
    <xf numFmtId="185" fontId="0" fillId="0" borderId="26" xfId="42" applyNumberFormat="1" applyFont="1" applyFill="1" applyBorder="1" applyAlignment="1">
      <alignment horizontal="center"/>
    </xf>
    <xf numFmtId="185" fontId="0" fillId="0" borderId="16" xfId="42" applyNumberFormat="1" applyFont="1" applyFill="1" applyBorder="1" applyAlignment="1">
      <alignment horizontal="center"/>
    </xf>
    <xf numFmtId="185" fontId="0" fillId="0" borderId="0" xfId="42" applyNumberFormat="1" applyFill="1" applyBorder="1" applyAlignment="1">
      <alignment/>
    </xf>
    <xf numFmtId="185" fontId="2" fillId="0" borderId="0" xfId="42" applyNumberFormat="1" applyFont="1" applyBorder="1" applyAlignment="1">
      <alignment horizontal="center"/>
    </xf>
    <xf numFmtId="185" fontId="0" fillId="0" borderId="26" xfId="42" applyNumberFormat="1" applyBorder="1" applyAlignment="1">
      <alignment/>
    </xf>
    <xf numFmtId="185" fontId="0" fillId="0" borderId="26" xfId="42" applyNumberFormat="1" applyFill="1" applyBorder="1" applyAlignment="1">
      <alignment/>
    </xf>
    <xf numFmtId="185" fontId="0" fillId="0" borderId="16" xfId="42" applyNumberFormat="1" applyFill="1" applyBorder="1" applyAlignment="1">
      <alignment/>
    </xf>
    <xf numFmtId="185" fontId="0" fillId="0" borderId="14" xfId="42" applyNumberFormat="1" applyFill="1" applyBorder="1" applyAlignment="1">
      <alignment/>
    </xf>
    <xf numFmtId="185" fontId="0" fillId="0" borderId="13" xfId="42" applyNumberFormat="1" applyFill="1" applyBorder="1" applyAlignment="1">
      <alignment/>
    </xf>
    <xf numFmtId="185" fontId="0" fillId="0" borderId="27" xfId="42" applyNumberFormat="1" applyBorder="1" applyAlignment="1">
      <alignment/>
    </xf>
    <xf numFmtId="185" fontId="0" fillId="0" borderId="27" xfId="42" applyNumberFormat="1" applyFont="1" applyBorder="1" applyAlignment="1">
      <alignment/>
    </xf>
    <xf numFmtId="185" fontId="0" fillId="0" borderId="27" xfId="42" applyNumberFormat="1" applyFill="1" applyBorder="1" applyAlignment="1">
      <alignment/>
    </xf>
    <xf numFmtId="185" fontId="32" fillId="0" borderId="0" xfId="42" applyNumberFormat="1" applyFont="1" applyAlignment="1">
      <alignment/>
    </xf>
    <xf numFmtId="185" fontId="0" fillId="0" borderId="0" xfId="42" applyNumberFormat="1" applyFont="1" applyAlignment="1" quotePrefix="1">
      <alignment/>
    </xf>
    <xf numFmtId="43" fontId="22" fillId="0" borderId="0" xfId="42" applyNumberFormat="1" applyFont="1" applyBorder="1" applyAlignment="1">
      <alignment horizontal="center"/>
    </xf>
    <xf numFmtId="185" fontId="11" fillId="0" borderId="0" xfId="0" applyNumberFormat="1" applyFont="1" applyFill="1" applyBorder="1" applyAlignment="1">
      <alignment/>
    </xf>
    <xf numFmtId="185"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85" fontId="0" fillId="0" borderId="13" xfId="42" applyNumberFormat="1" applyFont="1" applyFill="1" applyBorder="1" applyAlignment="1">
      <alignment/>
    </xf>
    <xf numFmtId="43" fontId="0" fillId="0" borderId="13" xfId="42" applyNumberFormat="1" applyFont="1" applyBorder="1" applyAlignment="1">
      <alignment/>
    </xf>
    <xf numFmtId="43" fontId="6" fillId="22"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22" borderId="0" xfId="42" applyNumberFormat="1" applyFont="1" applyFill="1" applyAlignment="1">
      <alignment/>
    </xf>
    <xf numFmtId="43" fontId="0" fillId="22"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85"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85"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85" fontId="6" fillId="0" borderId="0" xfId="42" applyNumberFormat="1" applyFont="1" applyAlignment="1">
      <alignment/>
    </xf>
    <xf numFmtId="185" fontId="1" fillId="0" borderId="0" xfId="42" applyNumberFormat="1" applyFont="1" applyAlignment="1">
      <alignment/>
    </xf>
    <xf numFmtId="185" fontId="0" fillId="0" borderId="0" xfId="42" applyNumberFormat="1" applyFont="1" applyFill="1" applyBorder="1" applyAlignment="1">
      <alignment/>
    </xf>
    <xf numFmtId="185" fontId="0" fillId="0" borderId="34" xfId="42" applyNumberFormat="1" applyFont="1" applyFill="1" applyBorder="1" applyAlignment="1">
      <alignment/>
    </xf>
    <xf numFmtId="185" fontId="0" fillId="0" borderId="35" xfId="42" applyNumberFormat="1" applyFont="1" applyFill="1" applyBorder="1" applyAlignment="1">
      <alignment/>
    </xf>
    <xf numFmtId="185" fontId="0" fillId="0" borderId="36"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2" xfId="42" applyNumberFormat="1" applyFont="1" applyFill="1" applyBorder="1" applyAlignment="1">
      <alignment/>
    </xf>
    <xf numFmtId="185" fontId="0" fillId="0" borderId="13" xfId="42" applyNumberFormat="1" applyFont="1" applyFill="1" applyBorder="1" applyAlignment="1">
      <alignment/>
    </xf>
    <xf numFmtId="185" fontId="0" fillId="0" borderId="14" xfId="42" applyNumberFormat="1" applyFont="1" applyFill="1" applyBorder="1" applyAlignment="1">
      <alignment/>
    </xf>
    <xf numFmtId="185" fontId="6" fillId="0" borderId="0" xfId="42" applyNumberFormat="1" applyFont="1" applyBorder="1" applyAlignment="1">
      <alignment/>
    </xf>
    <xf numFmtId="185" fontId="6" fillId="0" borderId="0" xfId="0" applyNumberFormat="1" applyFont="1" applyAlignment="1">
      <alignment/>
    </xf>
    <xf numFmtId="43" fontId="6" fillId="0" borderId="0" xfId="42" applyNumberFormat="1" applyFont="1" applyAlignment="1" quotePrefix="1">
      <alignment horizontal="center"/>
    </xf>
    <xf numFmtId="184" fontId="0" fillId="0" borderId="0" xfId="42" applyNumberFormat="1" applyFont="1" applyAlignment="1" quotePrefix="1">
      <alignment horizontal="center"/>
    </xf>
    <xf numFmtId="185" fontId="0" fillId="0" borderId="0" xfId="42" applyNumberFormat="1" applyFont="1" applyFill="1" applyAlignment="1" quotePrefix="1">
      <alignment horizontal="center"/>
    </xf>
    <xf numFmtId="185" fontId="0" fillId="0" borderId="0" xfId="42" applyNumberFormat="1" applyFont="1" applyFill="1" applyBorder="1" applyAlignment="1" quotePrefix="1">
      <alignment horizontal="center"/>
    </xf>
    <xf numFmtId="185" fontId="0" fillId="0" borderId="0" xfId="42" applyNumberFormat="1" applyFont="1" applyAlignment="1" quotePrefix="1">
      <alignment horizontal="center"/>
    </xf>
    <xf numFmtId="185"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85"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85" fontId="22" fillId="0" borderId="26" xfId="42" applyNumberFormat="1" applyFont="1" applyBorder="1" applyAlignment="1">
      <alignment horizontal="center"/>
    </xf>
    <xf numFmtId="185" fontId="0" fillId="0" borderId="28" xfId="42" applyNumberFormat="1" applyFont="1" applyFill="1" applyBorder="1" applyAlignment="1">
      <alignment/>
    </xf>
    <xf numFmtId="185" fontId="0" fillId="0" borderId="29" xfId="42" applyNumberFormat="1" applyFont="1" applyBorder="1" applyAlignment="1">
      <alignment/>
    </xf>
    <xf numFmtId="185" fontId="0" fillId="0" borderId="29" xfId="42" applyNumberFormat="1" applyFont="1" applyFill="1" applyBorder="1" applyAlignment="1">
      <alignment/>
    </xf>
    <xf numFmtId="185"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1"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0" xfId="0" applyFont="1" applyAlignment="1" quotePrefix="1">
      <alignment/>
    </xf>
    <xf numFmtId="185" fontId="2" fillId="0" borderId="13" xfId="42" applyNumberFormat="1" applyFont="1" applyBorder="1" applyAlignment="1">
      <alignment/>
    </xf>
    <xf numFmtId="185" fontId="0" fillId="0" borderId="16" xfId="0" applyNumberFormat="1" applyBorder="1" applyAlignment="1">
      <alignment/>
    </xf>
    <xf numFmtId="185" fontId="0" fillId="0" borderId="10" xfId="42" applyNumberFormat="1" applyFont="1" applyBorder="1" applyAlignment="1">
      <alignment/>
    </xf>
    <xf numFmtId="185" fontId="0" fillId="0" borderId="11" xfId="42" applyNumberFormat="1" applyFont="1" applyBorder="1" applyAlignment="1">
      <alignment/>
    </xf>
    <xf numFmtId="185" fontId="2" fillId="0" borderId="16" xfId="42" applyNumberFormat="1" applyFont="1" applyBorder="1" applyAlignment="1">
      <alignment/>
    </xf>
    <xf numFmtId="185" fontId="0" fillId="0" borderId="26" xfId="42" applyNumberFormat="1" applyFont="1" applyBorder="1" applyAlignment="1">
      <alignment/>
    </xf>
    <xf numFmtId="41" fontId="0" fillId="0" borderId="0" xfId="42" applyNumberFormat="1" applyFont="1" applyFill="1" applyAlignment="1">
      <alignment/>
    </xf>
    <xf numFmtId="41" fontId="0" fillId="0" borderId="10"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lignment/>
    </xf>
    <xf numFmtId="0" fontId="0" fillId="0" borderId="0" xfId="0" applyFill="1" applyAlignment="1">
      <alignment/>
    </xf>
    <xf numFmtId="0" fontId="2" fillId="0" borderId="0" xfId="0" applyFont="1" applyFill="1" applyAlignment="1">
      <alignment/>
    </xf>
    <xf numFmtId="185" fontId="0" fillId="0" borderId="14" xfId="0" applyNumberFormat="1" applyBorder="1" applyAlignment="1">
      <alignment/>
    </xf>
    <xf numFmtId="185" fontId="2" fillId="0" borderId="0" xfId="42" applyNumberFormat="1" applyFont="1" applyFill="1" applyBorder="1" applyAlignment="1">
      <alignment/>
    </xf>
    <xf numFmtId="185" fontId="2" fillId="0" borderId="0" xfId="0" applyNumberFormat="1" applyFont="1" applyAlignment="1">
      <alignment/>
    </xf>
    <xf numFmtId="185" fontId="0" fillId="0" borderId="26" xfId="0" applyNumberFormat="1" applyBorder="1" applyAlignment="1">
      <alignment/>
    </xf>
    <xf numFmtId="185" fontId="0" fillId="0" borderId="27" xfId="0" applyNumberFormat="1" applyBorder="1" applyAlignment="1">
      <alignment/>
    </xf>
    <xf numFmtId="185" fontId="0" fillId="0" borderId="13" xfId="0" applyNumberFormat="1" applyBorder="1" applyAlignment="1">
      <alignment/>
    </xf>
    <xf numFmtId="0" fontId="0" fillId="0" borderId="0" xfId="0" applyFill="1" applyBorder="1" applyAlignment="1">
      <alignment/>
    </xf>
    <xf numFmtId="0" fontId="0" fillId="0" borderId="0" xfId="0" applyAlignment="1">
      <alignment horizontal="right"/>
    </xf>
    <xf numFmtId="41" fontId="0" fillId="0" borderId="10" xfId="0" applyNumberFormat="1" applyFont="1" applyFill="1" applyBorder="1" applyAlignment="1">
      <alignment/>
    </xf>
    <xf numFmtId="41" fontId="0" fillId="0" borderId="12" xfId="0" applyNumberFormat="1" applyFont="1" applyFill="1" applyBorder="1" applyAlignment="1">
      <alignment/>
    </xf>
    <xf numFmtId="185" fontId="2" fillId="0" borderId="0" xfId="0" applyNumberFormat="1" applyFont="1" applyFill="1" applyAlignment="1">
      <alignment/>
    </xf>
    <xf numFmtId="41" fontId="2" fillId="0" borderId="0" xfId="0" applyNumberFormat="1" applyFont="1" applyAlignment="1">
      <alignment/>
    </xf>
    <xf numFmtId="15" fontId="2" fillId="0" borderId="0" xfId="42" applyNumberFormat="1" applyFont="1" applyFill="1" applyAlignment="1" quotePrefix="1">
      <alignment horizontal="center"/>
    </xf>
    <xf numFmtId="185" fontId="2" fillId="0" borderId="0" xfId="42" applyNumberFormat="1" applyFont="1" applyFill="1" applyAlignment="1">
      <alignment/>
    </xf>
    <xf numFmtId="187" fontId="0" fillId="0" borderId="0" xfId="0" applyNumberFormat="1" applyFont="1" applyFill="1" applyBorder="1" applyAlignment="1">
      <alignment/>
    </xf>
    <xf numFmtId="184" fontId="0" fillId="0" borderId="0" xfId="42" applyNumberFormat="1" applyFont="1" applyBorder="1" applyAlignment="1">
      <alignment/>
    </xf>
    <xf numFmtId="43" fontId="0" fillId="0" borderId="0" xfId="42" applyFill="1" applyAlignment="1">
      <alignment/>
    </xf>
    <xf numFmtId="185" fontId="0" fillId="0" borderId="0" xfId="0" applyNumberFormat="1" applyAlignment="1" quotePrefix="1">
      <alignment/>
    </xf>
    <xf numFmtId="41" fontId="0" fillId="0" borderId="0" xfId="0" applyNumberFormat="1" applyFill="1" applyAlignment="1">
      <alignment/>
    </xf>
    <xf numFmtId="41" fontId="0" fillId="0" borderId="0" xfId="42" applyNumberFormat="1" applyFont="1" applyBorder="1" applyAlignment="1">
      <alignment/>
    </xf>
    <xf numFmtId="41" fontId="0" fillId="0" borderId="0"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187" fontId="0" fillId="0" borderId="0" xfId="0" applyNumberFormat="1" applyFont="1" applyAlignment="1">
      <alignment/>
    </xf>
    <xf numFmtId="185" fontId="0" fillId="0" borderId="0" xfId="0" applyNumberFormat="1" applyFill="1" applyAlignment="1">
      <alignment/>
    </xf>
    <xf numFmtId="185" fontId="0" fillId="0" borderId="0" xfId="0" applyNumberFormat="1" applyFont="1" applyFill="1" applyAlignment="1">
      <alignment horizontal="center"/>
    </xf>
    <xf numFmtId="185" fontId="0" fillId="0" borderId="26" xfId="0" applyNumberFormat="1" applyFill="1" applyBorder="1" applyAlignment="1">
      <alignment/>
    </xf>
    <xf numFmtId="0" fontId="0" fillId="0" borderId="26" xfId="0" applyFill="1" applyBorder="1" applyAlignment="1">
      <alignment/>
    </xf>
    <xf numFmtId="0" fontId="0" fillId="0" borderId="0" xfId="0" applyFont="1" applyBorder="1" applyAlignment="1">
      <alignment horizontal="center"/>
    </xf>
    <xf numFmtId="0" fontId="0" fillId="0" borderId="0" xfId="0" applyAlignment="1">
      <alignment wrapText="1"/>
    </xf>
    <xf numFmtId="15" fontId="2" fillId="0" borderId="0" xfId="0" applyNumberFormat="1" applyFont="1" applyFill="1" applyAlignment="1" quotePrefix="1">
      <alignment horizontal="center"/>
    </xf>
    <xf numFmtId="186" fontId="2" fillId="0" borderId="0" xfId="0" applyNumberFormat="1" applyFont="1" applyFill="1" applyAlignment="1">
      <alignment horizontal="center"/>
    </xf>
    <xf numFmtId="15" fontId="2" fillId="0" borderId="0" xfId="0" applyNumberFormat="1" applyFont="1" applyFill="1" applyAlignment="1">
      <alignment horizontal="center"/>
    </xf>
    <xf numFmtId="185" fontId="0" fillId="0" borderId="0" xfId="0" applyNumberFormat="1" applyFill="1" applyBorder="1" applyAlignment="1">
      <alignment/>
    </xf>
    <xf numFmtId="185" fontId="0" fillId="0" borderId="26" xfId="0" applyNumberFormat="1" applyFont="1" applyFill="1" applyBorder="1" applyAlignment="1">
      <alignment horizontal="center"/>
    </xf>
    <xf numFmtId="185" fontId="0" fillId="0" borderId="0" xfId="0" applyNumberFormat="1" applyFill="1" applyBorder="1" applyAlignment="1">
      <alignment horizontal="center"/>
    </xf>
    <xf numFmtId="184" fontId="0" fillId="0" borderId="16" xfId="42" applyNumberFormat="1" applyFont="1" applyFill="1" applyBorder="1" applyAlignment="1">
      <alignment/>
    </xf>
    <xf numFmtId="185" fontId="2" fillId="0" borderId="0" xfId="42" applyNumberFormat="1" applyFont="1" applyBorder="1" applyAlignment="1">
      <alignment/>
    </xf>
    <xf numFmtId="185" fontId="2" fillId="0" borderId="14" xfId="42" applyNumberFormat="1" applyFont="1" applyBorder="1" applyAlignment="1">
      <alignment/>
    </xf>
    <xf numFmtId="184" fontId="2" fillId="0" borderId="16" xfId="42" applyNumberFormat="1" applyFont="1" applyFill="1" applyBorder="1" applyAlignment="1">
      <alignment/>
    </xf>
    <xf numFmtId="43" fontId="2" fillId="0" borderId="0" xfId="42" applyFont="1" applyFill="1" applyAlignment="1">
      <alignment/>
    </xf>
    <xf numFmtId="185" fontId="0" fillId="0" borderId="16" xfId="0" applyNumberFormat="1" applyFont="1" applyBorder="1" applyAlignment="1">
      <alignment/>
    </xf>
    <xf numFmtId="184" fontId="0" fillId="0" borderId="16" xfId="42" applyNumberFormat="1" applyFont="1" applyFill="1" applyBorder="1" applyAlignment="1">
      <alignment/>
    </xf>
    <xf numFmtId="184" fontId="0" fillId="0" borderId="16" xfId="42" applyNumberFormat="1" applyFont="1" applyFill="1" applyBorder="1" applyAlignment="1">
      <alignment horizontal="center"/>
    </xf>
    <xf numFmtId="185" fontId="0" fillId="0" borderId="26" xfId="42" applyNumberFormat="1" applyFont="1" applyFill="1" applyBorder="1" applyAlignment="1">
      <alignment/>
    </xf>
    <xf numFmtId="0" fontId="2" fillId="0" borderId="0" xfId="0" applyFont="1" applyAlignment="1">
      <alignment/>
    </xf>
    <xf numFmtId="0" fontId="0" fillId="0" borderId="0" xfId="0" applyAlignment="1">
      <alignment/>
    </xf>
    <xf numFmtId="185" fontId="0" fillId="0" borderId="27" xfId="42" applyNumberFormat="1" applyFont="1" applyFill="1" applyBorder="1" applyAlignment="1">
      <alignment/>
    </xf>
    <xf numFmtId="185" fontId="0" fillId="0" borderId="16" xfId="42" applyNumberFormat="1" applyFont="1" applyFill="1" applyBorder="1" applyAlignment="1">
      <alignment/>
    </xf>
    <xf numFmtId="0" fontId="0" fillId="0" borderId="0" xfId="0" applyAlignment="1">
      <alignment horizontal="center" vertical="center" wrapText="1"/>
    </xf>
    <xf numFmtId="0" fontId="2" fillId="0" borderId="15" xfId="0" applyFont="1" applyBorder="1" applyAlignment="1">
      <alignment/>
    </xf>
    <xf numFmtId="185" fontId="0" fillId="0" borderId="15" xfId="42" applyNumberFormat="1" applyFont="1" applyBorder="1" applyAlignment="1">
      <alignment/>
    </xf>
    <xf numFmtId="15" fontId="2" fillId="0" borderId="10" xfId="0" applyNumberFormat="1" applyFont="1" applyBorder="1" applyAlignment="1">
      <alignment horizontal="center" vertical="center" wrapText="1"/>
    </xf>
    <xf numFmtId="185" fontId="2" fillId="0" borderId="10" xfId="42"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xf>
    <xf numFmtId="0" fontId="0" fillId="0" borderId="11" xfId="0" applyFont="1" applyBorder="1" applyAlignment="1">
      <alignment/>
    </xf>
    <xf numFmtId="185" fontId="0" fillId="0" borderId="11" xfId="0" applyNumberFormat="1" applyFont="1" applyBorder="1" applyAlignment="1">
      <alignment/>
    </xf>
    <xf numFmtId="0" fontId="2" fillId="0" borderId="11" xfId="0" applyFont="1" applyBorder="1" applyAlignment="1">
      <alignment/>
    </xf>
    <xf numFmtId="0" fontId="0" fillId="0" borderId="11" xfId="0" applyFont="1" applyBorder="1" applyAlignment="1">
      <alignment wrapText="1"/>
    </xf>
    <xf numFmtId="0" fontId="0" fillId="0" borderId="11" xfId="0" applyBorder="1" applyAlignment="1">
      <alignment horizontal="center" vertical="center" wrapText="1"/>
    </xf>
    <xf numFmtId="0" fontId="2" fillId="0" borderId="11" xfId="0" applyFont="1" applyBorder="1" applyAlignment="1">
      <alignment horizontal="center"/>
    </xf>
    <xf numFmtId="185" fontId="2" fillId="0" borderId="11" xfId="42" applyNumberFormat="1" applyFont="1" applyBorder="1" applyAlignment="1">
      <alignment horizontal="center"/>
    </xf>
    <xf numFmtId="0" fontId="0" fillId="0" borderId="10" xfId="0" applyFont="1" applyBorder="1" applyAlignment="1">
      <alignment/>
    </xf>
    <xf numFmtId="185" fontId="0" fillId="0" borderId="10" xfId="0" applyNumberFormat="1" applyFont="1" applyBorder="1" applyAlignment="1">
      <alignment/>
    </xf>
    <xf numFmtId="0" fontId="0" fillId="0" borderId="17" xfId="0" applyFont="1" applyBorder="1" applyAlignment="1">
      <alignment/>
    </xf>
    <xf numFmtId="185" fontId="0" fillId="0" borderId="17" xfId="42" applyNumberFormat="1" applyFont="1" applyBorder="1" applyAlignment="1">
      <alignment/>
    </xf>
    <xf numFmtId="185" fontId="0" fillId="0" borderId="29" xfId="42" applyNumberFormat="1" applyFont="1" applyBorder="1" applyAlignment="1">
      <alignment/>
    </xf>
    <xf numFmtId="185" fontId="0" fillId="0" borderId="35" xfId="42" applyNumberFormat="1" applyFont="1" applyBorder="1" applyAlignment="1">
      <alignment/>
    </xf>
    <xf numFmtId="185" fontId="0" fillId="0" borderId="37" xfId="42" applyNumberFormat="1" applyFont="1" applyBorder="1" applyAlignment="1">
      <alignment/>
    </xf>
    <xf numFmtId="185" fontId="2" fillId="0" borderId="0" xfId="0" applyNumberFormat="1" applyFont="1" applyBorder="1" applyAlignment="1">
      <alignment/>
    </xf>
    <xf numFmtId="0" fontId="0" fillId="0" borderId="10" xfId="0" applyFill="1" applyBorder="1" applyAlignment="1">
      <alignment/>
    </xf>
    <xf numFmtId="0" fontId="0" fillId="0" borderId="11" xfId="0" applyFill="1" applyBorder="1" applyAlignment="1">
      <alignment horizontal="center" vertical="center" wrapText="1"/>
    </xf>
    <xf numFmtId="15" fontId="2" fillId="0" borderId="10" xfId="0" applyNumberFormat="1" applyFont="1" applyFill="1" applyBorder="1" applyAlignment="1">
      <alignment horizontal="center" vertical="center" wrapText="1"/>
    </xf>
    <xf numFmtId="185" fontId="2" fillId="0" borderId="10" xfId="4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11" xfId="0" applyFill="1" applyBorder="1" applyAlignment="1">
      <alignment/>
    </xf>
    <xf numFmtId="185" fontId="0" fillId="0" borderId="0" xfId="0" applyNumberFormat="1" applyFont="1" applyFill="1" applyAlignment="1">
      <alignment/>
    </xf>
    <xf numFmtId="0" fontId="0" fillId="0" borderId="0" xfId="0" applyFill="1" applyAlignment="1" quotePrefix="1">
      <alignment/>
    </xf>
    <xf numFmtId="185" fontId="0" fillId="0" borderId="11" xfId="0" applyNumberFormat="1" applyFont="1" applyFill="1" applyBorder="1" applyAlignment="1">
      <alignment/>
    </xf>
    <xf numFmtId="185" fontId="0" fillId="0" borderId="17" xfId="42" applyNumberFormat="1" applyFont="1" applyFill="1" applyBorder="1" applyAlignment="1">
      <alignment/>
    </xf>
    <xf numFmtId="0" fontId="2" fillId="0" borderId="12" xfId="0" applyFont="1" applyFill="1" applyBorder="1" applyAlignment="1">
      <alignment horizontal="center"/>
    </xf>
    <xf numFmtId="185" fontId="2" fillId="0" borderId="12" xfId="42" applyNumberFormat="1" applyFont="1" applyFill="1" applyBorder="1" applyAlignment="1">
      <alignment horizontal="center"/>
    </xf>
    <xf numFmtId="0" fontId="0" fillId="0" borderId="12" xfId="0" applyFill="1" applyBorder="1" applyAlignment="1">
      <alignment/>
    </xf>
    <xf numFmtId="0" fontId="32" fillId="0" borderId="0" xfId="0" applyFont="1" applyFill="1" applyAlignment="1">
      <alignment/>
    </xf>
    <xf numFmtId="185" fontId="2" fillId="0" borderId="30" xfId="42" applyNumberFormat="1" applyFont="1" applyFill="1" applyBorder="1" applyAlignment="1">
      <alignment horizontal="center"/>
    </xf>
    <xf numFmtId="185" fontId="2" fillId="0" borderId="13" xfId="0" applyNumberFormat="1" applyFont="1" applyBorder="1" applyAlignment="1">
      <alignment/>
    </xf>
    <xf numFmtId="185" fontId="2" fillId="0" borderId="13" xfId="42"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17" xfId="0" applyFont="1" applyFill="1" applyBorder="1" applyAlignment="1">
      <alignment/>
    </xf>
    <xf numFmtId="185" fontId="0" fillId="0" borderId="16" xfId="0" applyNumberFormat="1" applyFont="1" applyFill="1" applyBorder="1" applyAlignment="1">
      <alignment/>
    </xf>
    <xf numFmtId="185" fontId="0" fillId="0" borderId="14" xfId="0" applyNumberFormat="1" applyFont="1" applyFill="1" applyBorder="1" applyAlignment="1">
      <alignment/>
    </xf>
    <xf numFmtId="185" fontId="0" fillId="0" borderId="13" xfId="0" applyNumberFormat="1" applyFont="1" applyFill="1" applyBorder="1" applyAlignment="1">
      <alignment/>
    </xf>
    <xf numFmtId="43" fontId="2" fillId="0" borderId="0" xfId="0" applyNumberFormat="1" applyFont="1" applyAlignment="1">
      <alignment/>
    </xf>
    <xf numFmtId="185" fontId="6" fillId="0" borderId="0" xfId="42" applyNumberFormat="1" applyFont="1" applyFill="1" applyAlignment="1">
      <alignment horizontal="center"/>
    </xf>
    <xf numFmtId="185" fontId="2" fillId="0" borderId="14" xfId="42" applyNumberFormat="1" applyFont="1" applyBorder="1" applyAlignment="1">
      <alignment horizontal="center"/>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0" xfId="0" applyFont="1" applyAlignment="1">
      <alignment horizontal="center"/>
    </xf>
    <xf numFmtId="0" fontId="33" fillId="0" borderId="0" xfId="0" applyFont="1" applyFill="1" applyAlignment="1">
      <alignment wrapText="1"/>
    </xf>
    <xf numFmtId="0" fontId="2" fillId="0" borderId="0" xfId="0" applyFont="1" applyBorder="1" applyAlignment="1">
      <alignment horizontal="center"/>
    </xf>
    <xf numFmtId="0" fontId="33" fillId="0" borderId="0" xfId="0" applyFont="1" applyFill="1" applyAlignment="1">
      <alignment horizontal="left" wrapText="1"/>
    </xf>
    <xf numFmtId="49" fontId="2" fillId="0" borderId="0" xfId="0" applyNumberFormat="1" applyFont="1" applyAlignment="1">
      <alignment horizontal="center"/>
    </xf>
    <xf numFmtId="0" fontId="2" fillId="0" borderId="15" xfId="0" applyFont="1" applyFill="1" applyBorder="1" applyAlignment="1">
      <alignment horizontal="center"/>
    </xf>
    <xf numFmtId="185" fontId="2" fillId="0" borderId="40" xfId="42" applyNumberFormat="1" applyFont="1" applyFill="1" applyBorder="1" applyAlignment="1">
      <alignment horizontal="center" wrapText="1"/>
    </xf>
    <xf numFmtId="185" fontId="2" fillId="0" borderId="28" xfId="42" applyNumberFormat="1" applyFont="1" applyFill="1" applyBorder="1" applyAlignment="1">
      <alignment horizontal="center" wrapText="1"/>
    </xf>
    <xf numFmtId="15" fontId="2" fillId="0" borderId="15"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0" borderId="15" xfId="0" applyFont="1" applyBorder="1" applyAlignment="1">
      <alignment horizontal="center"/>
    </xf>
    <xf numFmtId="185" fontId="2" fillId="0" borderId="15" xfId="42" applyNumberFormat="1" applyFont="1" applyBorder="1" applyAlignment="1">
      <alignment horizontal="center" wrapText="1"/>
    </xf>
    <xf numFmtId="185" fontId="2" fillId="0" borderId="10" xfId="42" applyNumberFormat="1" applyFont="1" applyBorder="1" applyAlignment="1">
      <alignment horizontal="center" wrapText="1"/>
    </xf>
    <xf numFmtId="15" fontId="2" fillId="0" borderId="15"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185" fontId="10" fillId="0" borderId="29" xfId="42" applyNumberFormat="1" applyFont="1" applyBorder="1" applyAlignment="1">
      <alignment horizontal="center"/>
    </xf>
    <xf numFmtId="185" fontId="10" fillId="0" borderId="35" xfId="42" applyNumberFormat="1" applyFont="1" applyBorder="1" applyAlignment="1">
      <alignment horizontal="center"/>
    </xf>
    <xf numFmtId="43" fontId="10" fillId="0" borderId="29" xfId="42" applyFont="1" applyBorder="1" applyAlignment="1">
      <alignment horizontal="center"/>
    </xf>
    <xf numFmtId="43" fontId="10" fillId="0" borderId="35" xfId="42"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0" fontId="10" fillId="0" borderId="40" xfId="0" applyFont="1" applyBorder="1" applyAlignment="1">
      <alignment horizontal="center"/>
    </xf>
    <xf numFmtId="0" fontId="10" fillId="0" borderId="41" xfId="0" applyFont="1" applyBorder="1" applyAlignment="1">
      <alignment horizontal="center"/>
    </xf>
    <xf numFmtId="185" fontId="10" fillId="0" borderId="29" xfId="42" applyNumberFormat="1" applyFont="1" applyBorder="1" applyAlignment="1">
      <alignment/>
    </xf>
    <xf numFmtId="185" fontId="10" fillId="0" borderId="35" xfId="42" applyNumberFormat="1" applyFont="1" applyBorder="1" applyAlignment="1">
      <alignment/>
    </xf>
    <xf numFmtId="0" fontId="10" fillId="0" borderId="0" xfId="0" applyFont="1" applyAlignment="1">
      <alignment horizontal="center" wrapText="1"/>
    </xf>
    <xf numFmtId="0" fontId="10" fillId="0" borderId="0" xfId="0" applyFont="1" applyAlignment="1">
      <alignment horizontal="center"/>
    </xf>
    <xf numFmtId="0" fontId="10" fillId="0" borderId="27" xfId="0" applyFont="1" applyBorder="1" applyAlignment="1">
      <alignment horizontal="center"/>
    </xf>
    <xf numFmtId="0" fontId="10" fillId="0" borderId="40" xfId="0" applyFont="1" applyBorder="1" applyAlignment="1">
      <alignment horizontal="center"/>
    </xf>
    <xf numFmtId="0" fontId="10" fillId="0" borderId="27" xfId="0" applyFont="1" applyBorder="1" applyAlignment="1">
      <alignment horizontal="center"/>
    </xf>
    <xf numFmtId="0" fontId="10" fillId="0" borderId="41" xfId="0" applyFont="1" applyBorder="1" applyAlignment="1">
      <alignment horizontal="center"/>
    </xf>
    <xf numFmtId="185" fontId="10" fillId="0" borderId="28" xfId="0" applyNumberFormat="1" applyFont="1" applyBorder="1" applyAlignment="1">
      <alignment horizontal="center"/>
    </xf>
    <xf numFmtId="185" fontId="10" fillId="0" borderId="34" xfId="0" applyNumberFormat="1" applyFont="1" applyBorder="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185" fontId="10" fillId="0" borderId="37" xfId="0" applyNumberFormat="1" applyFont="1" applyBorder="1" applyAlignment="1">
      <alignment horizontal="center"/>
    </xf>
    <xf numFmtId="185" fontId="10" fillId="0" borderId="42" xfId="0" applyNumberFormat="1" applyFont="1" applyBorder="1" applyAlignment="1">
      <alignment horizontal="center"/>
    </xf>
    <xf numFmtId="185" fontId="10" fillId="0" borderId="30" xfId="0" applyNumberFormat="1" applyFont="1" applyBorder="1" applyAlignment="1">
      <alignment horizontal="center"/>
    </xf>
    <xf numFmtId="185" fontId="10" fillId="0" borderId="36" xfId="0" applyNumberFormat="1" applyFont="1" applyBorder="1" applyAlignment="1">
      <alignment horizontal="center"/>
    </xf>
    <xf numFmtId="0" fontId="0" fillId="0" borderId="0" xfId="57" applyFont="1" applyFill="1" applyAlignment="1">
      <alignment horizontal="left" vertical="top" wrapText="1"/>
      <protection/>
    </xf>
    <xf numFmtId="185"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8</xdr:row>
      <xdr:rowOff>0</xdr:rowOff>
    </xdr:from>
    <xdr:to>
      <xdr:col>3</xdr:col>
      <xdr:colOff>0</xdr:colOff>
      <xdr:row>8</xdr:row>
      <xdr:rowOff>0</xdr:rowOff>
    </xdr:to>
    <xdr:sp>
      <xdr:nvSpPr>
        <xdr:cNvPr id="1" name="Line 1"/>
        <xdr:cNvSpPr>
          <a:spLocks/>
        </xdr:cNvSpPr>
      </xdr:nvSpPr>
      <xdr:spPr>
        <a:xfrm flipH="1">
          <a:off x="2762250" y="1295400"/>
          <a:ext cx="7143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8</xdr:row>
      <xdr:rowOff>0</xdr:rowOff>
    </xdr:from>
    <xdr:to>
      <xdr:col>3</xdr:col>
      <xdr:colOff>0</xdr:colOff>
      <xdr:row>8</xdr:row>
      <xdr:rowOff>0</xdr:rowOff>
    </xdr:to>
    <xdr:sp>
      <xdr:nvSpPr>
        <xdr:cNvPr id="2" name="Line 4"/>
        <xdr:cNvSpPr>
          <a:spLocks/>
        </xdr:cNvSpPr>
      </xdr:nvSpPr>
      <xdr:spPr>
        <a:xfrm flipH="1">
          <a:off x="2857500" y="1295400"/>
          <a:ext cx="6191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ES%20CERAMICS\Conso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ES%20CERAMICS\YE%202011\1Q\Consol%201Q%20YE%202011%20v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ES%20CERAMICS\YE%202011\3Q\Consol%203Q%20YE%202011%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14">
          <cell r="W14">
            <v>1500000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PL"/>
      <sheetName val="CBS"/>
      <sheetName val="Cash Flows"/>
      <sheetName val="PL-ESCT"/>
      <sheetName val="PL-ES"/>
      <sheetName val="PL-MC"/>
      <sheetName val="PL-GTR"/>
      <sheetName val="PL-GTRT"/>
      <sheetName val="PL-ECT"/>
      <sheetName val="CF"/>
      <sheetName val="CJE"/>
      <sheetName val="Interest,Others Income,Depr"/>
      <sheetName val="Relates Parties"/>
      <sheetName val="BS-ESCT"/>
      <sheetName val="BS-ES"/>
      <sheetName val="BS-MC"/>
      <sheetName val="BS-GTR"/>
      <sheetName val="BS-GTRT"/>
      <sheetName val="BS-ECT"/>
      <sheetName val="FA-ECT"/>
      <sheetName val="MA-ES"/>
      <sheetName val="MA-MC"/>
      <sheetName val="MA-GTR"/>
      <sheetName val="MA-GTRT"/>
      <sheetName val="MA-ECT"/>
    </sheetNames>
    <sheetDataSet>
      <sheetData sheetId="0">
        <row r="27">
          <cell r="J2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PL"/>
      <sheetName val="CBS"/>
      <sheetName val="Interest,Others Income,Depr"/>
      <sheetName val="Relates Parties"/>
      <sheetName val="PL-ESCT"/>
      <sheetName val="PL-ES"/>
      <sheetName val="PL-MC"/>
      <sheetName val="PL-GTR"/>
      <sheetName val="PL-GTRT"/>
      <sheetName val="PL-ECT"/>
      <sheetName val="FA-ECT"/>
      <sheetName val="Cash Flows"/>
      <sheetName val="CF"/>
      <sheetName val="CJE"/>
      <sheetName val="BS-ESCT"/>
      <sheetName val="BS-ES"/>
      <sheetName val="BS-MC"/>
      <sheetName val="BS-GTR"/>
      <sheetName val="BS-GTRT"/>
      <sheetName val="BS-ECT"/>
      <sheetName val="MA-ES"/>
      <sheetName val="MA-MC"/>
      <sheetName val="MA-GTR"/>
      <sheetName val="MA-GTRT"/>
      <sheetName val="MA-ECT"/>
    </sheetNames>
    <sheetDataSet>
      <sheetData sheetId="1">
        <row r="9">
          <cell r="W9">
            <v>20999051.112304002</v>
          </cell>
        </row>
        <row r="10">
          <cell r="W10">
            <v>1340536.87</v>
          </cell>
        </row>
        <row r="14">
          <cell r="W14">
            <v>1500000</v>
          </cell>
        </row>
        <row r="16">
          <cell r="W16">
            <v>2669692.9437556737</v>
          </cell>
        </row>
        <row r="17">
          <cell r="W17">
            <v>708325.683136</v>
          </cell>
        </row>
        <row r="18">
          <cell r="W18">
            <v>359760.87</v>
          </cell>
        </row>
        <row r="22">
          <cell r="W22">
            <v>8020172.007415999</v>
          </cell>
        </row>
        <row r="23">
          <cell r="W23">
            <v>5574690.269192</v>
          </cell>
        </row>
        <row r="24">
          <cell r="W24">
            <v>685887.38788</v>
          </cell>
        </row>
        <row r="29">
          <cell r="W29">
            <v>890149.6799999985</v>
          </cell>
        </row>
        <row r="30">
          <cell r="W30">
            <v>7136487.744975999</v>
          </cell>
        </row>
        <row r="36">
          <cell r="W36">
            <v>1319748.031424</v>
          </cell>
        </row>
        <row r="37">
          <cell r="W37">
            <v>857881.5455999998</v>
          </cell>
        </row>
        <row r="42">
          <cell r="W42">
            <v>102213.632</v>
          </cell>
        </row>
        <row r="43">
          <cell r="W43">
            <v>16783642.22</v>
          </cell>
        </row>
        <row r="45">
          <cell r="W45">
            <v>2798904</v>
          </cell>
        </row>
        <row r="46">
          <cell r="W46">
            <v>5876.330639999999</v>
          </cell>
        </row>
        <row r="56">
          <cell r="W56">
            <v>16978799.6275</v>
          </cell>
        </row>
        <row r="58">
          <cell r="W58">
            <v>0</v>
          </cell>
        </row>
        <row r="60">
          <cell r="W60">
            <v>330410</v>
          </cell>
        </row>
        <row r="61">
          <cell r="W61">
            <v>1797712.5409037052</v>
          </cell>
        </row>
        <row r="62">
          <cell r="W62">
            <v>5526275.891667966</v>
          </cell>
        </row>
        <row r="65">
          <cell r="W65">
            <v>245.58</v>
          </cell>
        </row>
        <row r="69">
          <cell r="W69">
            <v>531539.25</v>
          </cell>
        </row>
        <row r="70">
          <cell r="W70">
            <v>621945.555424</v>
          </cell>
        </row>
        <row r="72">
          <cell r="W72">
            <v>2229560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62" t="s">
        <v>244</v>
      </c>
      <c r="F3" s="462"/>
      <c r="G3" s="463" t="s">
        <v>242</v>
      </c>
      <c r="H3" s="464"/>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504</v>
      </c>
      <c r="G67" s="116"/>
      <c r="H67" s="123">
        <f>+G66</f>
        <v>678424.18</v>
      </c>
    </row>
    <row r="68" spans="2:8" ht="12.75">
      <c r="B68" t="s">
        <v>505</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2"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90" t="s">
        <v>132</v>
      </c>
      <c r="F116" s="496"/>
      <c r="G116" s="496"/>
      <c r="H116" s="491"/>
      <c r="I116" s="497" t="s">
        <v>133</v>
      </c>
      <c r="J116" s="498"/>
      <c r="K116" s="499"/>
    </row>
    <row r="117" spans="5:11" s="44" customFormat="1" ht="14.25" customHeight="1">
      <c r="E117" s="480" t="s">
        <v>134</v>
      </c>
      <c r="F117" s="481"/>
      <c r="G117" s="480" t="s">
        <v>135</v>
      </c>
      <c r="H117" s="481"/>
      <c r="I117" s="480" t="s">
        <v>136</v>
      </c>
      <c r="J117" s="481"/>
      <c r="K117" s="49" t="s">
        <v>137</v>
      </c>
    </row>
    <row r="118" spans="5:11" s="44" customFormat="1" ht="14.25" customHeight="1">
      <c r="E118" s="480" t="s">
        <v>486</v>
      </c>
      <c r="F118" s="481"/>
      <c r="G118" s="480" t="s">
        <v>487</v>
      </c>
      <c r="H118" s="481"/>
      <c r="I118" s="480" t="s">
        <v>486</v>
      </c>
      <c r="J118" s="481"/>
      <c r="K118" s="49" t="s">
        <v>487</v>
      </c>
    </row>
    <row r="119" spans="5:11" s="44" customFormat="1" ht="14.25">
      <c r="E119" s="490" t="s">
        <v>4</v>
      </c>
      <c r="F119" s="491"/>
      <c r="G119" s="490" t="s">
        <v>4</v>
      </c>
      <c r="H119" s="491"/>
      <c r="I119" s="490" t="s">
        <v>4</v>
      </c>
      <c r="J119" s="491"/>
      <c r="K119" s="50" t="s">
        <v>4</v>
      </c>
    </row>
    <row r="120" spans="5:11" s="44" customFormat="1" ht="14.25">
      <c r="E120" s="486"/>
      <c r="F120" s="487"/>
      <c r="G120" s="486"/>
      <c r="H120" s="487"/>
      <c r="I120" s="488"/>
      <c r="J120" s="489"/>
      <c r="K120" s="51"/>
    </row>
    <row r="121" spans="2:11" s="44" customFormat="1" ht="14.25">
      <c r="B121" s="44" t="s">
        <v>181</v>
      </c>
      <c r="E121" s="492">
        <f>-PL!H37</f>
        <v>93816.6292</v>
      </c>
      <c r="F121" s="493"/>
      <c r="G121" s="484">
        <v>329000</v>
      </c>
      <c r="H121" s="485"/>
      <c r="I121" s="482">
        <f>-PL!J37</f>
        <v>93816.6292</v>
      </c>
      <c r="J121" s="483"/>
      <c r="K121" s="71">
        <v>329000</v>
      </c>
    </row>
    <row r="122" spans="2:11" s="44" customFormat="1" ht="14.25">
      <c r="B122" s="44" t="s">
        <v>182</v>
      </c>
      <c r="E122" s="484"/>
      <c r="F122" s="485"/>
      <c r="G122" s="484" t="s">
        <v>48</v>
      </c>
      <c r="H122" s="485"/>
      <c r="I122" s="484" t="s">
        <v>48</v>
      </c>
      <c r="J122" s="485"/>
      <c r="K122" s="72" t="s">
        <v>48</v>
      </c>
    </row>
    <row r="123" spans="2:11" s="44" customFormat="1" ht="14.25">
      <c r="B123" s="44" t="s">
        <v>183</v>
      </c>
      <c r="E123" s="506">
        <v>0</v>
      </c>
      <c r="F123" s="507"/>
      <c r="G123" s="506">
        <v>0</v>
      </c>
      <c r="H123" s="507"/>
      <c r="I123" s="506">
        <f>+E123</f>
        <v>0</v>
      </c>
      <c r="J123" s="507"/>
      <c r="K123" s="73">
        <v>0</v>
      </c>
    </row>
    <row r="124" spans="5:11" s="44" customFormat="1" ht="14.25">
      <c r="E124" s="500">
        <f>SUM(E121:F123)</f>
        <v>93816.6292</v>
      </c>
      <c r="F124" s="501"/>
      <c r="G124" s="500">
        <f>SUM(G121:H123)</f>
        <v>329000</v>
      </c>
      <c r="H124" s="501"/>
      <c r="I124" s="500">
        <f>SUM(I121:J123)</f>
        <v>93816.6292</v>
      </c>
      <c r="J124" s="501"/>
      <c r="K124" s="74">
        <f>SUM(K121:K123)</f>
        <v>329000</v>
      </c>
    </row>
    <row r="125" spans="2:11" s="44" customFormat="1" ht="14.25">
      <c r="B125" s="44" t="s">
        <v>45</v>
      </c>
      <c r="E125" s="502">
        <v>0</v>
      </c>
      <c r="F125" s="503"/>
      <c r="G125" s="502">
        <v>0</v>
      </c>
      <c r="H125" s="503"/>
      <c r="I125" s="502">
        <v>0</v>
      </c>
      <c r="J125" s="503"/>
      <c r="K125" s="75">
        <v>0</v>
      </c>
    </row>
    <row r="126" spans="5:11" s="44" customFormat="1" ht="15" thickBot="1">
      <c r="E126" s="504">
        <f>SUM(E124:F125)</f>
        <v>93816.6292</v>
      </c>
      <c r="F126" s="505"/>
      <c r="G126" s="504">
        <f>SUM(G124:H125)</f>
        <v>329000</v>
      </c>
      <c r="H126" s="505"/>
      <c r="I126" s="504">
        <f>SUM(I124:J125)</f>
        <v>93816.6292</v>
      </c>
      <c r="J126" s="505"/>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95"/>
      <c r="H146" s="495"/>
      <c r="I146" s="494" t="s">
        <v>48</v>
      </c>
      <c r="J146" s="494"/>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G122:H122"/>
    <mergeCell ref="I122:J122"/>
    <mergeCell ref="I123:J123"/>
    <mergeCell ref="E123:F123"/>
    <mergeCell ref="G123:H123"/>
    <mergeCell ref="I124:J124"/>
    <mergeCell ref="E125:F125"/>
    <mergeCell ref="I125:J125"/>
    <mergeCell ref="E126:F126"/>
    <mergeCell ref="G126:H126"/>
    <mergeCell ref="I126:J126"/>
    <mergeCell ref="E124:F124"/>
    <mergeCell ref="G124:H124"/>
    <mergeCell ref="G125:H125"/>
    <mergeCell ref="I146:J146"/>
    <mergeCell ref="G146:H146"/>
    <mergeCell ref="E116:H116"/>
    <mergeCell ref="I116:K116"/>
    <mergeCell ref="E117:F117"/>
    <mergeCell ref="G117:H117"/>
    <mergeCell ref="I117:J117"/>
    <mergeCell ref="E118:F118"/>
    <mergeCell ref="I119:J119"/>
    <mergeCell ref="E120:F120"/>
    <mergeCell ref="G118:H118"/>
    <mergeCell ref="I118:J118"/>
    <mergeCell ref="I121:J121"/>
    <mergeCell ref="E122:F122"/>
    <mergeCell ref="G120:H120"/>
    <mergeCell ref="I120:J120"/>
    <mergeCell ref="E119:F119"/>
    <mergeCell ref="G119:H119"/>
    <mergeCell ref="E121:F121"/>
    <mergeCell ref="G121:H121"/>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508" t="s">
        <v>225</v>
      </c>
      <c r="C27" s="508"/>
      <c r="D27" s="508"/>
      <c r="E27" s="508"/>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6"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509" t="s">
        <v>342</v>
      </c>
      <c r="H3" s="509"/>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60" t="s">
        <v>485</v>
      </c>
      <c r="D12" s="460"/>
      <c r="E12" s="460"/>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61" t="s">
        <v>169</v>
      </c>
      <c r="C11" s="461"/>
      <c r="D11" s="461" t="s">
        <v>248</v>
      </c>
      <c r="E11" s="461"/>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506</v>
      </c>
      <c r="B18" s="10">
        <v>-1711073</v>
      </c>
      <c r="C18" s="10">
        <v>-2437872</v>
      </c>
      <c r="D18" s="10">
        <v>-1711073</v>
      </c>
      <c r="E18" s="10">
        <v>-2437872</v>
      </c>
      <c r="F18" s="10"/>
      <c r="G18" s="21"/>
    </row>
    <row r="19" spans="1:6" ht="12.75">
      <c r="A19" s="16"/>
      <c r="F19" s="10"/>
    </row>
    <row r="20" spans="1:6" ht="12.75">
      <c r="A20" s="16" t="s">
        <v>507</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508</v>
      </c>
      <c r="B24" s="10">
        <v>-86963</v>
      </c>
      <c r="C24" s="10">
        <v>-16592</v>
      </c>
      <c r="D24" s="10">
        <v>-86963</v>
      </c>
      <c r="E24" s="10">
        <v>-16592</v>
      </c>
      <c r="F24" s="10"/>
    </row>
    <row r="25" spans="1:6" ht="12.75">
      <c r="A25" s="16"/>
      <c r="F25" s="10"/>
    </row>
    <row r="26" spans="1:6" ht="12.75">
      <c r="A26" s="16" t="s">
        <v>509</v>
      </c>
      <c r="B26" s="10">
        <v>-426058</v>
      </c>
      <c r="C26" s="10">
        <v>-130462</v>
      </c>
      <c r="D26" s="10">
        <v>-426058</v>
      </c>
      <c r="E26" s="10">
        <v>-130462</v>
      </c>
      <c r="F26" s="10"/>
    </row>
    <row r="27" spans="1:6" ht="12.75">
      <c r="A27" s="16"/>
      <c r="F27" s="10"/>
    </row>
    <row r="28" spans="1:7" ht="12.75">
      <c r="A28" s="16" t="s">
        <v>510</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511</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503</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3"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1"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54"/>
  <sheetViews>
    <sheetView zoomScaleSheetLayoutView="100" zoomScalePageLayoutView="0" workbookViewId="0" topLeftCell="A1">
      <selection activeCell="G57" sqref="G57"/>
    </sheetView>
  </sheetViews>
  <sheetFormatPr defaultColWidth="9.140625" defaultRowHeight="12.75" outlineLevelCol="1"/>
  <cols>
    <col min="1" max="1" width="42.28125" style="0" bestFit="1" customWidth="1"/>
    <col min="2" max="2" width="2.7109375" style="0" customWidth="1"/>
    <col min="3" max="3" width="17.8515625" style="0" customWidth="1"/>
    <col min="4" max="4" width="2.7109375" style="0" customWidth="1"/>
    <col min="5" max="5" width="17.7109375" style="359" customWidth="1" outlineLevel="1"/>
    <col min="6" max="6" width="2.7109375" style="0" customWidth="1"/>
    <col min="7" max="7" width="14.8515625" style="0" customWidth="1"/>
    <col min="8" max="8" width="2.7109375" style="0" customWidth="1"/>
    <col min="9" max="9" width="17.7109375" style="0" bestFit="1" customWidth="1"/>
    <col min="10" max="10" width="13.57421875" style="0" customWidth="1"/>
  </cols>
  <sheetData>
    <row r="2" spans="1:9" ht="12.75">
      <c r="A2" s="465" t="s">
        <v>537</v>
      </c>
      <c r="B2" s="465"/>
      <c r="C2" s="465"/>
      <c r="D2" s="465"/>
      <c r="E2" s="465"/>
      <c r="F2" s="465"/>
      <c r="G2" s="465"/>
      <c r="H2" s="465"/>
      <c r="I2" s="465"/>
    </row>
    <row r="3" spans="1:9" ht="12.75">
      <c r="A3" s="465" t="s">
        <v>538</v>
      </c>
      <c r="B3" s="465"/>
      <c r="C3" s="465"/>
      <c r="D3" s="465"/>
      <c r="E3" s="465"/>
      <c r="F3" s="465"/>
      <c r="G3" s="465"/>
      <c r="H3" s="465"/>
      <c r="I3" s="465"/>
    </row>
    <row r="4" spans="1:9" ht="12.75">
      <c r="A4" s="465" t="s">
        <v>62</v>
      </c>
      <c r="B4" s="465"/>
      <c r="C4" s="465"/>
      <c r="D4" s="465"/>
      <c r="E4" s="465"/>
      <c r="F4" s="465"/>
      <c r="G4" s="465"/>
      <c r="H4" s="465"/>
      <c r="I4" s="465"/>
    </row>
    <row r="5" spans="1:9" ht="12.75">
      <c r="A5" s="48"/>
      <c r="B5" s="48"/>
      <c r="C5" s="48"/>
      <c r="D5" s="48"/>
      <c r="E5" s="367"/>
      <c r="F5" s="48"/>
      <c r="G5" s="48"/>
      <c r="H5" s="48"/>
      <c r="I5" s="48"/>
    </row>
    <row r="6" spans="1:9" ht="12.75">
      <c r="A6" s="467" t="s">
        <v>599</v>
      </c>
      <c r="B6" s="467"/>
      <c r="C6" s="467"/>
      <c r="D6" s="467"/>
      <c r="E6" s="467"/>
      <c r="F6" s="467"/>
      <c r="G6" s="467"/>
      <c r="H6" s="467"/>
      <c r="I6" s="467"/>
    </row>
    <row r="7" spans="1:9" ht="12.75">
      <c r="A7" s="467" t="s">
        <v>623</v>
      </c>
      <c r="B7" s="467"/>
      <c r="C7" s="467"/>
      <c r="D7" s="467"/>
      <c r="E7" s="467"/>
      <c r="F7" s="467"/>
      <c r="G7" s="467"/>
      <c r="H7" s="467"/>
      <c r="I7" s="467"/>
    </row>
    <row r="8" ht="12.75">
      <c r="A8" s="9"/>
    </row>
    <row r="9" spans="3:9" ht="12.75">
      <c r="C9" s="465" t="s">
        <v>512</v>
      </c>
      <c r="D9" s="465"/>
      <c r="E9" s="465"/>
      <c r="F9" s="67"/>
      <c r="G9" s="465" t="s">
        <v>513</v>
      </c>
      <c r="H9" s="465"/>
      <c r="I9" s="465"/>
    </row>
    <row r="10" spans="3:9" ht="12.75">
      <c r="C10" s="67"/>
      <c r="D10" s="67"/>
      <c r="E10" s="88"/>
      <c r="F10" s="67"/>
      <c r="G10" s="67"/>
      <c r="H10" s="67"/>
      <c r="I10" s="67"/>
    </row>
    <row r="11" spans="4:9" ht="12.75">
      <c r="D11" s="67"/>
      <c r="F11" s="67"/>
      <c r="G11" s="67" t="s">
        <v>514</v>
      </c>
      <c r="H11" s="67"/>
      <c r="I11" s="67" t="s">
        <v>515</v>
      </c>
    </row>
    <row r="12" spans="3:9" ht="12.75">
      <c r="C12" s="67" t="s">
        <v>514</v>
      </c>
      <c r="D12" s="67"/>
      <c r="E12" s="88" t="s">
        <v>515</v>
      </c>
      <c r="F12" s="67"/>
      <c r="G12" s="67" t="s">
        <v>531</v>
      </c>
      <c r="H12" s="67"/>
      <c r="I12" s="67" t="s">
        <v>531</v>
      </c>
    </row>
    <row r="13" spans="3:9" ht="12.75">
      <c r="C13" s="67" t="s">
        <v>520</v>
      </c>
      <c r="D13" s="67"/>
      <c r="E13" s="88" t="s">
        <v>520</v>
      </c>
      <c r="F13" s="67"/>
      <c r="G13" s="67" t="s">
        <v>532</v>
      </c>
      <c r="H13" s="67"/>
      <c r="I13" s="67" t="s">
        <v>532</v>
      </c>
    </row>
    <row r="14" spans="3:9" ht="12.75">
      <c r="C14" s="345">
        <v>40602</v>
      </c>
      <c r="D14" s="345"/>
      <c r="E14" s="396">
        <v>40237</v>
      </c>
      <c r="F14" s="345"/>
      <c r="G14" s="346">
        <f>C14</f>
        <v>40602</v>
      </c>
      <c r="H14" s="346"/>
      <c r="I14" s="346">
        <f>E14</f>
        <v>40237</v>
      </c>
    </row>
    <row r="15" spans="3:9" ht="12.75">
      <c r="C15" s="346" t="s">
        <v>48</v>
      </c>
      <c r="D15" s="345"/>
      <c r="E15" s="396"/>
      <c r="F15" s="345"/>
      <c r="G15" s="346" t="s">
        <v>48</v>
      </c>
      <c r="H15" s="346"/>
      <c r="I15" s="346"/>
    </row>
    <row r="16" spans="3:9" ht="12.75">
      <c r="C16" s="67" t="s">
        <v>4</v>
      </c>
      <c r="D16" s="67"/>
      <c r="E16" s="88" t="s">
        <v>4</v>
      </c>
      <c r="F16" s="67"/>
      <c r="G16" s="67" t="str">
        <f>C16</f>
        <v>RM</v>
      </c>
      <c r="H16" s="67"/>
      <c r="I16" s="67" t="str">
        <f>E16</f>
        <v>RM</v>
      </c>
    </row>
    <row r="18" spans="1:9" s="9" customFormat="1" ht="13.5" thickBot="1">
      <c r="A18" s="9" t="s">
        <v>151</v>
      </c>
      <c r="C18" s="353">
        <v>5074796</v>
      </c>
      <c r="D18" s="80"/>
      <c r="E18" s="456">
        <v>6275017</v>
      </c>
      <c r="F18" s="80"/>
      <c r="G18" s="353">
        <f>5578888+5769016+C18</f>
        <v>16422700</v>
      </c>
      <c r="H18" s="80"/>
      <c r="I18" s="405">
        <v>18481590</v>
      </c>
    </row>
    <row r="19" spans="3:9" ht="13.5" thickTop="1">
      <c r="C19" s="401"/>
      <c r="D19" s="35"/>
      <c r="E19" s="442"/>
      <c r="F19" s="35"/>
      <c r="G19" s="401"/>
      <c r="H19" s="35"/>
      <c r="I19" s="64"/>
    </row>
    <row r="20" spans="1:9" ht="12.75">
      <c r="A20" s="9" t="s">
        <v>621</v>
      </c>
      <c r="C20" s="371">
        <v>555119</v>
      </c>
      <c r="D20" s="80"/>
      <c r="E20" s="442">
        <v>977588</v>
      </c>
      <c r="F20" s="80"/>
      <c r="G20" s="80">
        <f>611569.7+617208+C20</f>
        <v>1783896.7</v>
      </c>
      <c r="H20" s="80"/>
      <c r="I20" s="64">
        <v>3221714</v>
      </c>
    </row>
    <row r="21" spans="1:9" ht="12.75">
      <c r="A21" s="9"/>
      <c r="C21" s="371"/>
      <c r="D21" s="10"/>
      <c r="E21" s="442"/>
      <c r="F21" s="10"/>
      <c r="G21" s="80"/>
      <c r="H21" s="10"/>
      <c r="I21" s="64"/>
    </row>
    <row r="22" spans="1:9" ht="12.75">
      <c r="A22" t="s">
        <v>516</v>
      </c>
      <c r="C22" s="371">
        <v>-403714</v>
      </c>
      <c r="D22" s="10"/>
      <c r="E22" s="442">
        <v>-523026</v>
      </c>
      <c r="F22" s="10"/>
      <c r="G22" s="80">
        <f>-476668+-479563+C22</f>
        <v>-1359945</v>
      </c>
      <c r="H22" s="80"/>
      <c r="I22" s="64">
        <v>-1458241</v>
      </c>
    </row>
    <row r="23" spans="3:9" ht="12.75">
      <c r="C23" s="402"/>
      <c r="D23" s="10"/>
      <c r="E23" s="457"/>
      <c r="F23" s="10"/>
      <c r="G23" s="402"/>
      <c r="H23" s="80"/>
      <c r="I23" s="65"/>
    </row>
    <row r="24" spans="1:9" s="9" customFormat="1" ht="12.75">
      <c r="A24" s="9" t="s">
        <v>207</v>
      </c>
      <c r="C24" s="80">
        <f>ROUNDUP(SUM(C20:C23),0)</f>
        <v>151405</v>
      </c>
      <c r="D24" s="80"/>
      <c r="E24" s="442">
        <f>SUM(E20:E23)</f>
        <v>454562</v>
      </c>
      <c r="F24" s="80"/>
      <c r="G24" s="80">
        <f>ROUNDUP(SUM(G20:G23),0)</f>
        <v>423952</v>
      </c>
      <c r="H24" s="80"/>
      <c r="I24" s="64">
        <f>SUM(I20:I23)</f>
        <v>1763473</v>
      </c>
    </row>
    <row r="25" spans="3:9" ht="12.75">
      <c r="C25" s="80"/>
      <c r="D25" s="10"/>
      <c r="E25" s="442"/>
      <c r="F25" s="10"/>
      <c r="G25" s="80"/>
      <c r="H25" s="80"/>
      <c r="I25" s="64"/>
    </row>
    <row r="26" spans="1:9" ht="12.75">
      <c r="A26" t="s">
        <v>103</v>
      </c>
      <c r="C26" s="371">
        <f>'[4]CPL'!$J$27</f>
        <v>0</v>
      </c>
      <c r="D26" s="10"/>
      <c r="E26" s="442">
        <v>-47994</v>
      </c>
      <c r="F26" s="10"/>
      <c r="G26" s="80">
        <f>0+C26</f>
        <v>0</v>
      </c>
      <c r="H26" s="80"/>
      <c r="I26" s="64">
        <v>-197234</v>
      </c>
    </row>
    <row r="27" spans="3:9" ht="12.75">
      <c r="C27" s="402"/>
      <c r="D27" s="10"/>
      <c r="E27" s="457"/>
      <c r="F27" s="10"/>
      <c r="G27" s="402"/>
      <c r="H27" s="10"/>
      <c r="I27" s="65"/>
    </row>
    <row r="28" spans="1:9" s="9" customFormat="1" ht="13.5" thickBot="1">
      <c r="A28" s="9" t="s">
        <v>600</v>
      </c>
      <c r="C28" s="349">
        <f>SUM(C24:C26)</f>
        <v>151405</v>
      </c>
      <c r="D28" s="80"/>
      <c r="E28" s="456">
        <f>SUM(E24:E27)</f>
        <v>406568</v>
      </c>
      <c r="F28" s="80"/>
      <c r="G28" s="349">
        <f>SUM(G24:G26)</f>
        <v>423952</v>
      </c>
      <c r="H28" s="80"/>
      <c r="I28" s="41">
        <f>SUM(I24:I26)</f>
        <v>1566239</v>
      </c>
    </row>
    <row r="29" spans="3:9" ht="13.5" thickTop="1">
      <c r="C29" s="385"/>
      <c r="E29" s="87"/>
      <c r="G29" s="385"/>
      <c r="I29" s="16"/>
    </row>
    <row r="30" spans="1:9" ht="12.75">
      <c r="A30" s="9" t="s">
        <v>612</v>
      </c>
      <c r="C30" s="385"/>
      <c r="E30" s="87"/>
      <c r="G30" s="385"/>
      <c r="I30" s="16"/>
    </row>
    <row r="31" spans="1:9" ht="12.75">
      <c r="A31" s="410" t="s">
        <v>611</v>
      </c>
      <c r="C31" s="362">
        <f>-660888+G31</f>
        <v>-351053</v>
      </c>
      <c r="D31" s="359"/>
      <c r="E31" s="89">
        <v>994330</v>
      </c>
      <c r="G31" s="434">
        <f>Equity!E20</f>
        <v>309835</v>
      </c>
      <c r="I31" s="442">
        <v>1475198</v>
      </c>
    </row>
    <row r="32" spans="3:9" ht="12.75">
      <c r="C32" s="385"/>
      <c r="E32" s="87"/>
      <c r="G32" s="385"/>
      <c r="I32" s="16"/>
    </row>
    <row r="33" spans="1:9" ht="13.5" thickBot="1">
      <c r="A33" s="409" t="s">
        <v>604</v>
      </c>
      <c r="C33" s="451">
        <f>SUM(C28:C32)</f>
        <v>-199648</v>
      </c>
      <c r="E33" s="458">
        <f>SUM(E28:E32)</f>
        <v>1400898</v>
      </c>
      <c r="G33" s="451">
        <f>SUM(G28:G32)</f>
        <v>733787</v>
      </c>
      <c r="I33" s="93">
        <f>SUM(I28:I32)</f>
        <v>3041437</v>
      </c>
    </row>
    <row r="34" spans="3:9" ht="13.5" thickTop="1">
      <c r="C34" s="385"/>
      <c r="E34" s="87"/>
      <c r="G34" s="385"/>
      <c r="I34" s="16"/>
    </row>
    <row r="35" spans="3:9" ht="12.75">
      <c r="C35" s="385"/>
      <c r="E35" s="87"/>
      <c r="G35" s="385"/>
      <c r="I35" s="16"/>
    </row>
    <row r="36" spans="1:9" ht="12.75">
      <c r="A36" s="9" t="s">
        <v>601</v>
      </c>
      <c r="C36" s="385"/>
      <c r="E36" s="87"/>
      <c r="G36" s="385"/>
      <c r="I36" s="16"/>
    </row>
    <row r="37" spans="3:9" ht="3.75" customHeight="1">
      <c r="C37" s="385"/>
      <c r="E37" s="87"/>
      <c r="G37" s="385"/>
      <c r="I37" s="16"/>
    </row>
    <row r="38" spans="1:9" ht="12.75">
      <c r="A38" t="s">
        <v>534</v>
      </c>
      <c r="C38" s="401">
        <f>C40-C39</f>
        <v>151379</v>
      </c>
      <c r="E38" s="442">
        <v>406572</v>
      </c>
      <c r="G38" s="401">
        <f>G40-G39</f>
        <v>423925</v>
      </c>
      <c r="I38" s="64">
        <v>1566238</v>
      </c>
    </row>
    <row r="39" spans="1:9" ht="12.75">
      <c r="A39" t="s">
        <v>602</v>
      </c>
      <c r="C39" s="401">
        <v>26</v>
      </c>
      <c r="E39" s="442">
        <v>-4</v>
      </c>
      <c r="G39" s="80">
        <f>C39+1</f>
        <v>27</v>
      </c>
      <c r="I39" s="64">
        <v>1</v>
      </c>
    </row>
    <row r="40" spans="3:9" ht="13.5" thickBot="1">
      <c r="C40" s="349">
        <f>C28</f>
        <v>151405</v>
      </c>
      <c r="E40" s="458">
        <f>SUM(E38:E39)</f>
        <v>406568</v>
      </c>
      <c r="G40" s="349">
        <f>G28</f>
        <v>423952</v>
      </c>
      <c r="I40" s="93">
        <f>SUM(I38:I39)</f>
        <v>1566239</v>
      </c>
    </row>
    <row r="41" spans="3:9" ht="13.5" thickTop="1">
      <c r="C41" s="48"/>
      <c r="E41" s="87"/>
      <c r="G41" s="48"/>
      <c r="I41" s="16"/>
    </row>
    <row r="42" spans="1:9" ht="12.75">
      <c r="A42" s="9" t="s">
        <v>613</v>
      </c>
      <c r="C42" s="48"/>
      <c r="E42" s="87"/>
      <c r="G42" s="48"/>
      <c r="I42" s="16"/>
    </row>
    <row r="43" spans="1:9" ht="3.75" customHeight="1">
      <c r="A43" s="9"/>
      <c r="C43" s="48"/>
      <c r="E43" s="87"/>
      <c r="G43" s="48"/>
      <c r="I43" s="16"/>
    </row>
    <row r="44" spans="1:9" ht="12.75">
      <c r="A44" t="s">
        <v>534</v>
      </c>
      <c r="C44" s="362">
        <f>C46-C45</f>
        <v>-199674</v>
      </c>
      <c r="D44" s="359"/>
      <c r="E44" s="92">
        <f>E46-E45</f>
        <v>1400902</v>
      </c>
      <c r="F44" s="359"/>
      <c r="G44" s="362">
        <f>G46-G45</f>
        <v>733760</v>
      </c>
      <c r="H44" s="359"/>
      <c r="I44" s="92">
        <f>I46-I45</f>
        <v>3041414</v>
      </c>
    </row>
    <row r="45" spans="1:9" ht="12.75">
      <c r="A45" t="s">
        <v>602</v>
      </c>
      <c r="C45" s="362">
        <v>26</v>
      </c>
      <c r="D45" s="359"/>
      <c r="E45" s="442">
        <v>-4</v>
      </c>
      <c r="F45" s="359"/>
      <c r="G45" s="374">
        <f>G39</f>
        <v>27</v>
      </c>
      <c r="H45" s="359"/>
      <c r="I45" s="442">
        <v>23</v>
      </c>
    </row>
    <row r="46" spans="3:9" ht="13.5" thickBot="1">
      <c r="C46" s="452">
        <f>C33</f>
        <v>-199648</v>
      </c>
      <c r="D46" s="359"/>
      <c r="E46" s="458">
        <f>E33</f>
        <v>1400898</v>
      </c>
      <c r="F46" s="359"/>
      <c r="G46" s="452">
        <f>G33</f>
        <v>733787</v>
      </c>
      <c r="H46" s="359"/>
      <c r="I46" s="458">
        <f>I33</f>
        <v>3041437</v>
      </c>
    </row>
    <row r="47" spans="3:9" ht="13.5" thickTop="1">
      <c r="C47" s="367"/>
      <c r="D47" s="359"/>
      <c r="E47" s="87"/>
      <c r="F47" s="359"/>
      <c r="G47" s="367"/>
      <c r="H47" s="359"/>
      <c r="I47" s="87"/>
    </row>
    <row r="48" spans="1:9" ht="12.75">
      <c r="A48" t="s">
        <v>162</v>
      </c>
      <c r="E48" s="87"/>
      <c r="G48" s="9"/>
      <c r="I48" s="16"/>
    </row>
    <row r="49" spans="1:10" ht="13.5" thickBot="1">
      <c r="A49" s="347" t="s">
        <v>517</v>
      </c>
      <c r="B49" s="347"/>
      <c r="C49" s="403">
        <f>C38/(169788000)*100</f>
        <v>0.08915765542912338</v>
      </c>
      <c r="D49" s="359"/>
      <c r="E49" s="400">
        <f>E38/52967000*100</f>
        <v>0.7675949175901977</v>
      </c>
      <c r="F49" s="359"/>
      <c r="G49" s="403">
        <f>G38/(169788000)*100</f>
        <v>0.2496790114731312</v>
      </c>
      <c r="H49" s="400"/>
      <c r="I49" s="406">
        <v>3</v>
      </c>
      <c r="J49" s="376"/>
    </row>
    <row r="50" spans="3:9" ht="13.5" thickTop="1">
      <c r="C50" s="360"/>
      <c r="D50" s="359"/>
      <c r="E50" s="87"/>
      <c r="F50" s="359"/>
      <c r="G50" s="404"/>
      <c r="H50" s="330"/>
      <c r="I50" s="298"/>
    </row>
    <row r="51" spans="1:9" ht="13.5" thickBot="1">
      <c r="A51" s="347" t="s">
        <v>518</v>
      </c>
      <c r="B51" s="347"/>
      <c r="C51" s="403">
        <f>C38/(57449500+59538150+53651000)*100</f>
        <v>0.08871319598461426</v>
      </c>
      <c r="D51" s="359"/>
      <c r="E51" s="400">
        <v>0.8</v>
      </c>
      <c r="F51" s="359"/>
      <c r="G51" s="403">
        <f>G40/(57449500+59538150+53651000)*100</f>
        <v>0.24845016061718728</v>
      </c>
      <c r="H51" s="330"/>
      <c r="I51" s="407">
        <v>2.9</v>
      </c>
    </row>
    <row r="52" spans="3:9" ht="13.5" thickTop="1">
      <c r="C52" s="359"/>
      <c r="D52" s="359"/>
      <c r="F52" s="359"/>
      <c r="G52" s="359"/>
      <c r="H52" s="359"/>
      <c r="I52" s="359"/>
    </row>
    <row r="54" spans="1:9" ht="24" customHeight="1">
      <c r="A54" s="466" t="s">
        <v>603</v>
      </c>
      <c r="B54" s="466"/>
      <c r="C54" s="466"/>
      <c r="D54" s="466"/>
      <c r="E54" s="466"/>
      <c r="F54" s="466"/>
      <c r="G54" s="466"/>
      <c r="H54" s="466"/>
      <c r="I54" s="466"/>
    </row>
  </sheetData>
  <sheetProtection password="C750" sheet="1"/>
  <mergeCells count="8">
    <mergeCell ref="A4:I4"/>
    <mergeCell ref="A3:I3"/>
    <mergeCell ref="A2:I2"/>
    <mergeCell ref="A54:I54"/>
    <mergeCell ref="C9:E9"/>
    <mergeCell ref="G9:I9"/>
    <mergeCell ref="A6:I6"/>
    <mergeCell ref="A7:I7"/>
  </mergeCells>
  <printOptions/>
  <pageMargins left="0.5" right="0" top="0.75" bottom="0" header="0.5" footer="0.5"/>
  <pageSetup fitToHeight="1" fitToWidth="1" horizontalDpi="600" verticalDpi="600" orientation="portrait" paperSize="9" scale="81"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1"/>
  <sheetViews>
    <sheetView zoomScalePageLayoutView="0" workbookViewId="0" topLeftCell="A28">
      <selection activeCell="I53" sqref="I53"/>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359" bestFit="1" customWidth="1"/>
    <col min="7" max="7" width="13.57421875" style="0" customWidth="1"/>
    <col min="8" max="8" width="11.28125" style="0" bestFit="1" customWidth="1"/>
  </cols>
  <sheetData>
    <row r="2" spans="1:6" ht="12.75">
      <c r="A2" s="465" t="str">
        <f>'Income Statement'!A2</f>
        <v>ES CERAMICS TECHNOLOGY BHD</v>
      </c>
      <c r="B2" s="465"/>
      <c r="C2" s="465"/>
      <c r="D2" s="465"/>
      <c r="E2" s="465"/>
      <c r="F2" s="465"/>
    </row>
    <row r="3" spans="1:6" ht="12.75">
      <c r="A3" s="465" t="str">
        <f>'Income Statement'!A3</f>
        <v>Company No. 627117-P</v>
      </c>
      <c r="B3" s="465"/>
      <c r="C3" s="465"/>
      <c r="D3" s="465"/>
      <c r="E3" s="465"/>
      <c r="F3" s="465"/>
    </row>
    <row r="4" spans="1:6" ht="12.75">
      <c r="A4" s="465" t="str">
        <f>'Income Statement'!A4</f>
        <v>(Incorporated in Malaysia)</v>
      </c>
      <c r="B4" s="465"/>
      <c r="C4" s="465"/>
      <c r="D4" s="465"/>
      <c r="E4" s="465"/>
      <c r="F4" s="465"/>
    </row>
    <row r="5" spans="1:6" ht="12.75">
      <c r="A5" s="385"/>
      <c r="B5" s="48"/>
      <c r="C5" s="48"/>
      <c r="D5" s="48"/>
      <c r="E5" s="48"/>
      <c r="F5" s="367"/>
    </row>
    <row r="6" spans="1:6" ht="12.75">
      <c r="A6" s="467" t="s">
        <v>579</v>
      </c>
      <c r="B6" s="467"/>
      <c r="C6" s="467"/>
      <c r="D6" s="467"/>
      <c r="E6" s="467"/>
      <c r="F6" s="467"/>
    </row>
    <row r="7" spans="1:6" ht="12.75">
      <c r="A7" s="465" t="s">
        <v>624</v>
      </c>
      <c r="B7" s="465"/>
      <c r="C7" s="465"/>
      <c r="D7" s="465"/>
      <c r="E7" s="465"/>
      <c r="F7" s="465"/>
    </row>
    <row r="8" spans="1:6" ht="12.75">
      <c r="A8" s="67"/>
      <c r="B8" s="67"/>
      <c r="C8" s="67"/>
      <c r="D8" s="67"/>
      <c r="E8" s="67"/>
      <c r="F8" s="88"/>
    </row>
    <row r="9" spans="4:6" ht="12.75">
      <c r="D9" s="88" t="s">
        <v>580</v>
      </c>
      <c r="E9" s="88"/>
      <c r="F9" s="88" t="s">
        <v>580</v>
      </c>
    </row>
    <row r="10" spans="4:6" ht="12.75">
      <c r="D10" s="394">
        <f>'Income Statement'!C14</f>
        <v>40602</v>
      </c>
      <c r="E10" s="88"/>
      <c r="F10" s="395">
        <v>40329</v>
      </c>
    </row>
    <row r="11" spans="4:6" ht="12.75">
      <c r="D11" s="396" t="s">
        <v>559</v>
      </c>
      <c r="E11" s="396"/>
      <c r="F11" s="396" t="s">
        <v>519</v>
      </c>
    </row>
    <row r="12" spans="4:6" ht="12.75">
      <c r="D12" s="394"/>
      <c r="E12" s="394"/>
      <c r="F12" s="396"/>
    </row>
    <row r="13" spans="4:6" ht="12.75">
      <c r="D13" s="88" t="s">
        <v>4</v>
      </c>
      <c r="E13" s="88"/>
      <c r="F13" s="88" t="str">
        <f>D13</f>
        <v>RM</v>
      </c>
    </row>
    <row r="14" ht="12.75">
      <c r="A14" s="9" t="s">
        <v>562</v>
      </c>
    </row>
    <row r="16" ht="12.75">
      <c r="A16" s="9" t="s">
        <v>564</v>
      </c>
    </row>
    <row r="17" spans="1:8" s="9" customFormat="1" ht="12.75">
      <c r="A17" s="16"/>
      <c r="B17" s="16" t="s">
        <v>524</v>
      </c>
      <c r="D17" s="355">
        <f>'[5]CBS'!$W$9+'[5]CBS'!$W$10</f>
        <v>22339587.982304003</v>
      </c>
      <c r="E17" s="19"/>
      <c r="F17" s="89">
        <f>21100083+2340344</f>
        <v>23440427</v>
      </c>
      <c r="H17" s="372"/>
    </row>
    <row r="18" spans="1:8" s="9" customFormat="1" ht="12.75">
      <c r="A18" s="16"/>
      <c r="B18" s="16" t="s">
        <v>565</v>
      </c>
      <c r="D18" s="355">
        <f>SUM('[5]CBS'!$W$16:$W$18)</f>
        <v>3737779.4968916737</v>
      </c>
      <c r="E18" s="26"/>
      <c r="F18" s="89">
        <v>3865485</v>
      </c>
      <c r="H18" s="372"/>
    </row>
    <row r="19" spans="1:8" s="9" customFormat="1" ht="12.75">
      <c r="A19" s="16"/>
      <c r="B19" s="16" t="s">
        <v>566</v>
      </c>
      <c r="D19" s="355">
        <f>'[5]CBS'!$W$14</f>
        <v>1500000</v>
      </c>
      <c r="E19" s="26"/>
      <c r="F19" s="89">
        <f>'[3]CBS'!$W$14</f>
        <v>1500000</v>
      </c>
      <c r="H19" s="372"/>
    </row>
    <row r="20" spans="4:8" s="9" customFormat="1" ht="12.75">
      <c r="D20" s="354">
        <f>SUM(D17:D19)</f>
        <v>27577367.479195677</v>
      </c>
      <c r="E20" s="26"/>
      <c r="F20" s="408">
        <f>SUM(F17:F19)</f>
        <v>28805912</v>
      </c>
      <c r="H20" s="372"/>
    </row>
    <row r="21" spans="4:8" s="9" customFormat="1" ht="12.75">
      <c r="D21" s="355"/>
      <c r="E21" s="26"/>
      <c r="F21" s="89"/>
      <c r="H21" s="372"/>
    </row>
    <row r="22" spans="1:8" ht="12.75">
      <c r="A22" s="9" t="s">
        <v>25</v>
      </c>
      <c r="D22" s="355"/>
      <c r="E22" s="26"/>
      <c r="F22" s="89"/>
      <c r="H22" s="372"/>
    </row>
    <row r="23" spans="2:8" ht="12.75">
      <c r="B23" t="s">
        <v>521</v>
      </c>
      <c r="C23" s="379"/>
      <c r="D23" s="356">
        <f>'[5]CBS'!$W$22</f>
        <v>8020172.007415999</v>
      </c>
      <c r="E23" s="26"/>
      <c r="F23" s="382">
        <v>6005108</v>
      </c>
      <c r="H23" s="372"/>
    </row>
    <row r="24" spans="2:8" ht="12.75">
      <c r="B24" t="s">
        <v>560</v>
      </c>
      <c r="C24" s="379"/>
      <c r="D24" s="357">
        <f>SUM('[5]CBS'!$W$23:$W$24)</f>
        <v>6260577.657072</v>
      </c>
      <c r="E24" s="26"/>
      <c r="F24" s="383">
        <f>8208473+753197</f>
        <v>8961670</v>
      </c>
      <c r="H24" s="372"/>
    </row>
    <row r="25" spans="2:8" ht="12.75">
      <c r="B25" t="s">
        <v>571</v>
      </c>
      <c r="C25" s="379"/>
      <c r="D25" s="357">
        <f>'[5]CBS'!$W$29</f>
        <v>890149.6799999985</v>
      </c>
      <c r="E25" s="26"/>
      <c r="F25" s="383">
        <v>732134</v>
      </c>
      <c r="H25" s="372"/>
    </row>
    <row r="26" spans="2:8" ht="12.75">
      <c r="B26" t="s">
        <v>572</v>
      </c>
      <c r="C26" s="379"/>
      <c r="D26" s="357">
        <f>'[5]CBS'!$W$30</f>
        <v>7136487.744975999</v>
      </c>
      <c r="E26" s="26"/>
      <c r="F26" s="384">
        <f>4165069+23466</f>
        <v>4188535</v>
      </c>
      <c r="H26" s="372"/>
    </row>
    <row r="27" spans="3:8" ht="12.75">
      <c r="C27" s="381"/>
      <c r="D27" s="408">
        <f>ROUNDUP(SUM(D23:D26),0)</f>
        <v>22307388</v>
      </c>
      <c r="E27" s="26"/>
      <c r="F27" s="92">
        <f>SUM(F23:F26)</f>
        <v>19887447</v>
      </c>
      <c r="G27" s="21"/>
      <c r="H27" s="372"/>
    </row>
    <row r="28" spans="4:8" s="9" customFormat="1" ht="12.75">
      <c r="D28" s="26"/>
      <c r="E28" s="26"/>
      <c r="F28" s="92"/>
      <c r="H28" s="372"/>
    </row>
    <row r="29" spans="1:8" s="9" customFormat="1" ht="13.5" thickBot="1">
      <c r="A29" s="9" t="s">
        <v>561</v>
      </c>
      <c r="D29" s="41">
        <f>D20+D27</f>
        <v>49884755.47919568</v>
      </c>
      <c r="E29" s="26"/>
      <c r="F29" s="278">
        <f>F20+F27</f>
        <v>48693359</v>
      </c>
      <c r="H29" s="372"/>
    </row>
    <row r="30" spans="4:8" s="9" customFormat="1" ht="13.5" thickTop="1">
      <c r="D30" s="380"/>
      <c r="E30" s="26"/>
      <c r="F30" s="92"/>
      <c r="H30" s="372"/>
    </row>
    <row r="31" spans="1:8" s="9" customFormat="1" ht="12.75">
      <c r="A31" s="9" t="s">
        <v>563</v>
      </c>
      <c r="D31" s="380"/>
      <c r="E31" s="26"/>
      <c r="F31" s="92"/>
      <c r="H31" s="372"/>
    </row>
    <row r="32" spans="1:8" ht="12.75">
      <c r="A32" s="9" t="s">
        <v>581</v>
      </c>
      <c r="D32" s="19"/>
      <c r="E32" s="26"/>
      <c r="F32" s="89"/>
      <c r="H32" s="372"/>
    </row>
    <row r="33" spans="2:8" ht="12.75">
      <c r="B33" t="s">
        <v>223</v>
      </c>
      <c r="C33" s="21"/>
      <c r="D33" s="382">
        <f>'[5]CBS'!$W$56</f>
        <v>16978799.6275</v>
      </c>
      <c r="E33" s="26"/>
      <c r="F33" s="382">
        <v>5365100</v>
      </c>
      <c r="H33" s="372"/>
    </row>
    <row r="34" spans="2:8" ht="12.75">
      <c r="B34" t="s">
        <v>523</v>
      </c>
      <c r="C34" s="21"/>
      <c r="D34" s="383">
        <f>'[5]CBS'!$W$58</f>
        <v>0</v>
      </c>
      <c r="E34" s="26"/>
      <c r="F34" s="383">
        <v>3821775</v>
      </c>
      <c r="H34" s="372"/>
    </row>
    <row r="35" spans="2:8" ht="12.75">
      <c r="B35" t="s">
        <v>533</v>
      </c>
      <c r="C35" s="21"/>
      <c r="D35" s="383">
        <f>'[5]CBS'!$W$60</f>
        <v>330410</v>
      </c>
      <c r="E35" s="26"/>
      <c r="F35" s="383">
        <f>184212</f>
        <v>184212</v>
      </c>
      <c r="H35" s="372"/>
    </row>
    <row r="36" spans="2:8" ht="12.75">
      <c r="B36" t="s">
        <v>614</v>
      </c>
      <c r="C36" s="21"/>
      <c r="D36" s="383">
        <f>ROUNDDOWN('[5]CBS'!$W$61,0)</f>
        <v>1797712</v>
      </c>
      <c r="E36" s="26"/>
      <c r="F36" s="383">
        <v>1487877</v>
      </c>
      <c r="H36" s="372"/>
    </row>
    <row r="37" spans="2:8" ht="12.75">
      <c r="B37" t="s">
        <v>528</v>
      </c>
      <c r="C37" s="21"/>
      <c r="D37" s="384">
        <f>'[5]CBS'!$W$62</f>
        <v>5526275.891667966</v>
      </c>
      <c r="E37" s="26"/>
      <c r="F37" s="384">
        <v>7053587</v>
      </c>
      <c r="H37" s="372"/>
    </row>
    <row r="38" spans="3:8" ht="12.75">
      <c r="C38" s="21"/>
      <c r="D38" s="354">
        <f>(SUM(D33:D37))</f>
        <v>24633197.519167967</v>
      </c>
      <c r="E38" s="26"/>
      <c r="F38" s="408">
        <f>SUM(F33:F37)</f>
        <v>17912551</v>
      </c>
      <c r="H38" s="372"/>
    </row>
    <row r="39" spans="1:8" ht="12.75">
      <c r="A39" s="9" t="s">
        <v>582</v>
      </c>
      <c r="C39" s="21"/>
      <c r="D39" s="26">
        <f>'[5]CBS'!$W$65</f>
        <v>245.58</v>
      </c>
      <c r="E39" s="26"/>
      <c r="F39" s="92">
        <v>246</v>
      </c>
      <c r="H39" s="372"/>
    </row>
    <row r="40" spans="1:8" ht="13.5" thickBot="1">
      <c r="A40" s="9" t="s">
        <v>567</v>
      </c>
      <c r="C40" s="21"/>
      <c r="D40" s="41">
        <f>ROUNDUP(SUM(D38:D39),0)</f>
        <v>24633444</v>
      </c>
      <c r="E40" s="26"/>
      <c r="F40" s="278">
        <f>SUM(F38:F39)</f>
        <v>17912797</v>
      </c>
      <c r="H40" s="372"/>
    </row>
    <row r="41" spans="1:8" ht="13.5" thickTop="1">
      <c r="A41" s="348"/>
      <c r="B41" s="347"/>
      <c r="C41" s="347"/>
      <c r="D41" s="48"/>
      <c r="E41" s="48"/>
      <c r="F41" s="367"/>
      <c r="H41" s="372"/>
    </row>
    <row r="42" spans="1:8" s="9" customFormat="1" ht="12.75">
      <c r="A42" s="9" t="s">
        <v>568</v>
      </c>
      <c r="D42" s="380"/>
      <c r="E42" s="26"/>
      <c r="F42" s="92"/>
      <c r="H42" s="372"/>
    </row>
    <row r="43" spans="1:8" ht="12.75">
      <c r="A43" s="9" t="s">
        <v>529</v>
      </c>
      <c r="B43" s="347"/>
      <c r="C43" s="347"/>
      <c r="D43" s="48"/>
      <c r="E43" s="48"/>
      <c r="F43" s="367"/>
      <c r="H43" s="372"/>
    </row>
    <row r="44" spans="1:8" ht="12.75">
      <c r="A44" s="348"/>
      <c r="B44" t="s">
        <v>526</v>
      </c>
      <c r="C44" s="21"/>
      <c r="D44" s="369">
        <f>'[5]CBS'!$W$70</f>
        <v>621945.555424</v>
      </c>
      <c r="E44" s="48"/>
      <c r="F44" s="306">
        <v>660742</v>
      </c>
      <c r="H44" s="372"/>
    </row>
    <row r="45" spans="1:8" ht="12.75">
      <c r="A45" s="348"/>
      <c r="B45" t="s">
        <v>530</v>
      </c>
      <c r="C45" s="21"/>
      <c r="D45" s="358">
        <f>'[5]CBS'!$W$72</f>
        <v>2229560</v>
      </c>
      <c r="E45" s="35"/>
      <c r="F45" s="307">
        <v>18830416</v>
      </c>
      <c r="H45" s="372"/>
    </row>
    <row r="46" spans="1:8" ht="12.75">
      <c r="A46" s="348"/>
      <c r="B46" t="s">
        <v>522</v>
      </c>
      <c r="C46" s="21"/>
      <c r="D46" s="370">
        <f>'[5]CBS'!$W$69</f>
        <v>531539.25</v>
      </c>
      <c r="E46" s="48"/>
      <c r="F46" s="307">
        <v>531539</v>
      </c>
      <c r="H46" s="372"/>
    </row>
    <row r="47" spans="1:8" ht="12.75">
      <c r="A47" s="348"/>
      <c r="B47" s="347"/>
      <c r="C47" s="378"/>
      <c r="D47" s="354">
        <f>SUM(D44:D46)</f>
        <v>3383044.805424</v>
      </c>
      <c r="E47" s="26"/>
      <c r="F47" s="408">
        <f>SUM(F44:F46)</f>
        <v>20022697</v>
      </c>
      <c r="H47" s="372"/>
    </row>
    <row r="48" spans="1:6" ht="12.75">
      <c r="A48" s="348"/>
      <c r="B48" s="347"/>
      <c r="C48" s="347"/>
      <c r="D48" s="26"/>
      <c r="E48" s="48"/>
      <c r="F48" s="92"/>
    </row>
    <row r="49" spans="1:8" ht="12.75">
      <c r="A49" s="9" t="s">
        <v>525</v>
      </c>
      <c r="D49" s="381"/>
      <c r="E49" s="26"/>
      <c r="F49" s="92"/>
      <c r="H49" s="372"/>
    </row>
    <row r="50" spans="2:8" ht="12.75">
      <c r="B50" t="s">
        <v>574</v>
      </c>
      <c r="D50" s="369">
        <f>SUM('[5]CBS'!$W$36:$W$37)</f>
        <v>2177629.5770239998</v>
      </c>
      <c r="E50" s="26"/>
      <c r="F50" s="382">
        <f>1364107+926546</f>
        <v>2290653</v>
      </c>
      <c r="H50" s="372"/>
    </row>
    <row r="51" spans="2:8" ht="12.75">
      <c r="B51" t="s">
        <v>526</v>
      </c>
      <c r="D51" s="358">
        <f>'[5]CBS'!$W$42</f>
        <v>102213.632</v>
      </c>
      <c r="E51" s="26"/>
      <c r="F51" s="383">
        <v>102083</v>
      </c>
      <c r="H51" s="372"/>
    </row>
    <row r="52" spans="2:8" ht="12.75">
      <c r="B52" t="s">
        <v>530</v>
      </c>
      <c r="D52" s="358">
        <f>'[5]CBS'!$W$43</f>
        <v>16783642.22</v>
      </c>
      <c r="E52" s="26"/>
      <c r="F52" s="383">
        <v>1766755</v>
      </c>
      <c r="H52" s="372"/>
    </row>
    <row r="53" spans="2:8" ht="12.75">
      <c r="B53" t="s">
        <v>527</v>
      </c>
      <c r="D53" s="358">
        <f>'[5]CBS'!$W$45</f>
        <v>2798904</v>
      </c>
      <c r="E53" s="26"/>
      <c r="F53" s="383">
        <v>6598374</v>
      </c>
      <c r="H53" s="372"/>
    </row>
    <row r="54" spans="2:8" ht="12.75">
      <c r="B54" t="s">
        <v>573</v>
      </c>
      <c r="D54" s="370">
        <f>'[5]CBS'!$W$46</f>
        <v>5876.330639999999</v>
      </c>
      <c r="E54" s="26"/>
      <c r="F54" s="384">
        <v>0</v>
      </c>
      <c r="H54" s="372"/>
    </row>
    <row r="55" spans="4:8" ht="12.75">
      <c r="D55" s="354">
        <f>ROUNDUP(SUM(D50:D54),0)</f>
        <v>21868266</v>
      </c>
      <c r="E55" s="26"/>
      <c r="F55" s="408">
        <f>SUM(F50:F54)</f>
        <v>10757865</v>
      </c>
      <c r="G55" s="21"/>
      <c r="H55" s="372"/>
    </row>
    <row r="56" spans="4:8" ht="12.75">
      <c r="D56" s="26"/>
      <c r="E56" s="26"/>
      <c r="F56" s="92"/>
      <c r="G56" s="21"/>
      <c r="H56" s="372"/>
    </row>
    <row r="57" spans="1:8" ht="12.75">
      <c r="A57" s="9" t="s">
        <v>569</v>
      </c>
      <c r="D57" s="267">
        <f>D55+D47</f>
        <v>25251310.805424</v>
      </c>
      <c r="E57" s="26"/>
      <c r="F57" s="411">
        <f>F55+F47</f>
        <v>30780562</v>
      </c>
      <c r="H57" s="372"/>
    </row>
    <row r="58" spans="5:8" s="9" customFormat="1" ht="12.75">
      <c r="E58" s="385"/>
      <c r="F58" s="360"/>
      <c r="H58" s="372"/>
    </row>
    <row r="59" spans="1:8" ht="13.5" thickBot="1">
      <c r="A59" s="9" t="s">
        <v>570</v>
      </c>
      <c r="D59" s="41">
        <f>D57+D40</f>
        <v>49884754.805424005</v>
      </c>
      <c r="E59" s="26"/>
      <c r="F59" s="278">
        <f>F57+F40</f>
        <v>48693359</v>
      </c>
      <c r="H59" s="372"/>
    </row>
    <row r="60" spans="4:8" ht="13.5" thickTop="1">
      <c r="D60" s="19"/>
      <c r="E60" s="26"/>
      <c r="F60" s="89"/>
      <c r="H60" s="372"/>
    </row>
    <row r="61" spans="4:8" s="9" customFormat="1" ht="12.75">
      <c r="D61" s="19"/>
      <c r="E61" s="26"/>
      <c r="F61" s="89"/>
      <c r="H61" s="372"/>
    </row>
    <row r="62" spans="1:6" ht="12.75">
      <c r="A62" s="9" t="s">
        <v>535</v>
      </c>
      <c r="B62" s="347"/>
      <c r="C62" s="347"/>
      <c r="D62" s="48"/>
      <c r="E62" s="48"/>
      <c r="F62" s="367"/>
    </row>
    <row r="63" spans="1:6" ht="13.5" thickBot="1">
      <c r="A63" s="9" t="s">
        <v>536</v>
      </c>
      <c r="B63" s="347"/>
      <c r="C63" s="347"/>
      <c r="D63" s="350">
        <f>D40/D33*10</f>
        <v>14.50835426557601</v>
      </c>
      <c r="E63" s="48"/>
      <c r="F63" s="412">
        <f>F38/F33*10</f>
        <v>33.38717078898809</v>
      </c>
    </row>
    <row r="64" ht="13.5" thickTop="1">
      <c r="E64" s="48"/>
    </row>
    <row r="65" spans="1:5" ht="12.75">
      <c r="A65"/>
      <c r="D65" s="21"/>
      <c r="E65" s="48"/>
    </row>
    <row r="66" spans="1:6" ht="12.75">
      <c r="A66"/>
      <c r="D66" s="21"/>
      <c r="E66" s="233"/>
      <c r="F66" s="388">
        <f>F59-F29</f>
        <v>0</v>
      </c>
    </row>
    <row r="67" spans="1:8" ht="24.75" customHeight="1">
      <c r="A67" s="468" t="s">
        <v>583</v>
      </c>
      <c r="B67" s="468"/>
      <c r="C67" s="468"/>
      <c r="D67" s="468"/>
      <c r="E67" s="468"/>
      <c r="F67" s="468"/>
      <c r="G67" s="393"/>
      <c r="H67" s="393"/>
    </row>
    <row r="68" spans="1:5" ht="12.75">
      <c r="A68"/>
      <c r="E68" s="48"/>
    </row>
    <row r="69" spans="1:5" ht="12.75">
      <c r="A69"/>
      <c r="E69" s="48"/>
    </row>
    <row r="70" spans="1:5" ht="12.75">
      <c r="A70"/>
      <c r="D70" s="21"/>
      <c r="E70" s="48"/>
    </row>
    <row r="71" ht="12.75">
      <c r="A71"/>
    </row>
  </sheetData>
  <sheetProtection password="C750" sheet="1"/>
  <mergeCells count="6">
    <mergeCell ref="A67:F67"/>
    <mergeCell ref="A6:F6"/>
    <mergeCell ref="A2:F2"/>
    <mergeCell ref="A3:F3"/>
    <mergeCell ref="A4:F4"/>
    <mergeCell ref="A7:F7"/>
  </mergeCells>
  <printOptions horizontalCentered="1"/>
  <pageMargins left="0" right="0" top="0.25" bottom="0" header="0.5" footer="0.5"/>
  <pageSetup fitToHeight="1" fitToWidth="1" horizontalDpi="600" verticalDpi="600" orientation="portrait" paperSize="9" scale="95"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J44"/>
  <sheetViews>
    <sheetView zoomScalePageLayoutView="0" workbookViewId="0" topLeftCell="C25">
      <selection activeCell="E37" sqref="E37"/>
    </sheetView>
  </sheetViews>
  <sheetFormatPr defaultColWidth="9.140625" defaultRowHeight="12.75"/>
  <cols>
    <col min="1" max="1" width="26.7109375" style="0" customWidth="1"/>
    <col min="2" max="4" width="12.7109375" style="0" customWidth="1"/>
    <col min="5" max="5" width="12.7109375" style="10" customWidth="1"/>
    <col min="6" max="7" width="12.7109375" style="0" customWidth="1"/>
    <col min="8" max="8" width="12.7109375" style="10" customWidth="1"/>
    <col min="9" max="9" width="12.7109375" style="0" customWidth="1"/>
    <col min="10" max="10" width="13.57421875" style="0" customWidth="1"/>
  </cols>
  <sheetData>
    <row r="2" spans="1:9" ht="12.75">
      <c r="A2" s="469" t="s">
        <v>537</v>
      </c>
      <c r="B2" s="469"/>
      <c r="C2" s="469"/>
      <c r="D2" s="469"/>
      <c r="E2" s="469"/>
      <c r="F2" s="469"/>
      <c r="G2" s="469"/>
      <c r="H2" s="469"/>
      <c r="I2" s="469"/>
    </row>
    <row r="3" spans="1:9" ht="12.75">
      <c r="A3" s="469" t="s">
        <v>538</v>
      </c>
      <c r="B3" s="469"/>
      <c r="C3" s="469"/>
      <c r="D3" s="469"/>
      <c r="E3" s="469"/>
      <c r="F3" s="469"/>
      <c r="G3" s="469"/>
      <c r="H3" s="469"/>
      <c r="I3" s="469"/>
    </row>
    <row r="4" spans="1:9" ht="12.75">
      <c r="A4" s="465" t="s">
        <v>62</v>
      </c>
      <c r="B4" s="465"/>
      <c r="C4" s="465"/>
      <c r="D4" s="465"/>
      <c r="E4" s="465"/>
      <c r="F4" s="465"/>
      <c r="G4" s="465"/>
      <c r="H4" s="465"/>
      <c r="I4" s="465"/>
    </row>
    <row r="5" spans="1:9" ht="12.75">
      <c r="A5" s="48"/>
      <c r="B5" s="48"/>
      <c r="C5" s="48"/>
      <c r="D5" s="48"/>
      <c r="E5" s="35"/>
      <c r="F5" s="48"/>
      <c r="G5" s="48"/>
      <c r="H5" s="35"/>
      <c r="I5" s="48"/>
    </row>
    <row r="6" spans="5:8" s="48" customFormat="1" ht="12.75">
      <c r="E6" s="35"/>
      <c r="H6" s="35"/>
    </row>
    <row r="7" spans="1:9" s="48" customFormat="1" ht="12.75">
      <c r="A7" s="467" t="s">
        <v>555</v>
      </c>
      <c r="B7" s="467"/>
      <c r="C7" s="467"/>
      <c r="D7" s="467"/>
      <c r="E7" s="467"/>
      <c r="F7" s="467"/>
      <c r="G7" s="467"/>
      <c r="H7" s="467"/>
      <c r="I7" s="467"/>
    </row>
    <row r="8" ht="12.75">
      <c r="A8" s="9"/>
    </row>
    <row r="9" spans="1:9" ht="12.75">
      <c r="A9" s="51"/>
      <c r="B9" s="475" t="s">
        <v>615</v>
      </c>
      <c r="C9" s="475"/>
      <c r="D9" s="475"/>
      <c r="E9" s="475"/>
      <c r="F9" s="475"/>
      <c r="G9" s="475"/>
      <c r="H9" s="476" t="s">
        <v>616</v>
      </c>
      <c r="I9" s="478" t="s">
        <v>617</v>
      </c>
    </row>
    <row r="10" spans="1:9" s="413" customFormat="1" ht="25.5">
      <c r="A10" s="424"/>
      <c r="B10" s="416" t="s">
        <v>223</v>
      </c>
      <c r="C10" s="416" t="s">
        <v>523</v>
      </c>
      <c r="D10" s="416" t="s">
        <v>533</v>
      </c>
      <c r="E10" s="417" t="s">
        <v>614</v>
      </c>
      <c r="F10" s="416" t="s">
        <v>43</v>
      </c>
      <c r="G10" s="418" t="s">
        <v>66</v>
      </c>
      <c r="H10" s="477"/>
      <c r="I10" s="479"/>
    </row>
    <row r="11" spans="1:9" ht="12.75">
      <c r="A11" s="419"/>
      <c r="B11" s="425" t="s">
        <v>4</v>
      </c>
      <c r="C11" s="425" t="s">
        <v>4</v>
      </c>
      <c r="D11" s="425" t="s">
        <v>4</v>
      </c>
      <c r="E11" s="426" t="s">
        <v>4</v>
      </c>
      <c r="F11" s="425" t="str">
        <f>B11</f>
        <v>RM</v>
      </c>
      <c r="G11" s="425" t="str">
        <f>C11</f>
        <v>RM</v>
      </c>
      <c r="H11" s="426" t="str">
        <f>C11</f>
        <v>RM</v>
      </c>
      <c r="I11" s="425" t="str">
        <f>B11</f>
        <v>RM</v>
      </c>
    </row>
    <row r="12" spans="1:9" s="385" customFormat="1" ht="12.75">
      <c r="A12" s="427" t="s">
        <v>608</v>
      </c>
      <c r="B12" s="428">
        <f>'Balance Sheets'!F33</f>
        <v>5365100</v>
      </c>
      <c r="C12" s="428">
        <f>'Balance Sheets'!F34</f>
        <v>3821775</v>
      </c>
      <c r="D12" s="428">
        <f>'Balance Sheets'!F35</f>
        <v>184212</v>
      </c>
      <c r="E12" s="428">
        <f>'Balance Sheets'!F36</f>
        <v>1487877</v>
      </c>
      <c r="F12" s="428">
        <f>'Balance Sheets'!F37</f>
        <v>7053587</v>
      </c>
      <c r="G12" s="428">
        <f>SUM(B12:F12)</f>
        <v>17912551</v>
      </c>
      <c r="H12" s="428">
        <f>'Balance Sheets'!F39</f>
        <v>246</v>
      </c>
      <c r="I12" s="351">
        <f>SUM(G12:H12)</f>
        <v>17912797</v>
      </c>
    </row>
    <row r="13" spans="1:9" s="385" customFormat="1" ht="12.75">
      <c r="A13" s="420" t="s">
        <v>609</v>
      </c>
      <c r="B13" s="352"/>
      <c r="C13" s="352"/>
      <c r="D13" s="352"/>
      <c r="E13" s="352"/>
      <c r="F13" s="352"/>
      <c r="G13" s="352"/>
      <c r="H13" s="352"/>
      <c r="I13" s="352"/>
    </row>
    <row r="14" spans="1:9" s="385" customFormat="1" ht="12.75">
      <c r="A14" s="414" t="s">
        <v>610</v>
      </c>
      <c r="B14" s="415">
        <f>SUM(B12:B13)</f>
        <v>5365100</v>
      </c>
      <c r="C14" s="415">
        <f aca="true" t="shared" si="0" ref="C14:I14">SUM(C12:C13)</f>
        <v>3821775</v>
      </c>
      <c r="D14" s="415">
        <f t="shared" si="0"/>
        <v>184212</v>
      </c>
      <c r="E14" s="415">
        <f t="shared" si="0"/>
        <v>1487877</v>
      </c>
      <c r="F14" s="415">
        <f t="shared" si="0"/>
        <v>7053587</v>
      </c>
      <c r="G14" s="415">
        <f t="shared" si="0"/>
        <v>17912551</v>
      </c>
      <c r="H14" s="415">
        <f t="shared" si="0"/>
        <v>246</v>
      </c>
      <c r="I14" s="415">
        <f t="shared" si="0"/>
        <v>17912797</v>
      </c>
    </row>
    <row r="15" spans="1:9" s="385" customFormat="1" ht="12.75">
      <c r="A15" s="422"/>
      <c r="B15" s="352"/>
      <c r="C15" s="352"/>
      <c r="D15" s="352"/>
      <c r="E15" s="352"/>
      <c r="F15" s="431"/>
      <c r="G15" s="351"/>
      <c r="H15" s="432"/>
      <c r="I15" s="352"/>
    </row>
    <row r="16" spans="1:9" s="385" customFormat="1" ht="12.75">
      <c r="A16" s="420" t="s">
        <v>605</v>
      </c>
      <c r="B16" s="352">
        <f>'Balance Sheets'!D33-B14</f>
        <v>11613699.627500001</v>
      </c>
      <c r="D16" s="352">
        <f>'Balance Sheets'!D35-D14</f>
        <v>146198</v>
      </c>
      <c r="E16" s="352"/>
      <c r="F16" s="431"/>
      <c r="G16" s="421">
        <f>SUM(B16:F16)</f>
        <v>11759897.627500001</v>
      </c>
      <c r="H16" s="432"/>
      <c r="I16" s="352">
        <f>SUM(G16:H16)</f>
        <v>11759897.627500001</v>
      </c>
    </row>
    <row r="17" spans="1:9" s="385" customFormat="1" ht="12.75">
      <c r="A17" s="420"/>
      <c r="B17" s="352"/>
      <c r="C17" s="352"/>
      <c r="D17" s="352"/>
      <c r="E17" s="352"/>
      <c r="F17" s="431"/>
      <c r="G17" s="352"/>
      <c r="H17" s="432"/>
      <c r="I17" s="352"/>
    </row>
    <row r="18" spans="1:9" s="385" customFormat="1" ht="12.75">
      <c r="A18" s="420" t="s">
        <v>606</v>
      </c>
      <c r="B18" s="352"/>
      <c r="C18" s="352"/>
      <c r="D18" s="352"/>
      <c r="E18" s="352"/>
      <c r="F18" s="431"/>
      <c r="G18" s="421">
        <f>SUM(B18:F18)</f>
        <v>0</v>
      </c>
      <c r="H18" s="432"/>
      <c r="I18" s="352">
        <f>SUM(G18:H18)</f>
        <v>0</v>
      </c>
    </row>
    <row r="19" spans="1:9" s="385" customFormat="1" ht="12.75">
      <c r="A19" s="420"/>
      <c r="B19" s="352"/>
      <c r="C19" s="352"/>
      <c r="D19" s="352"/>
      <c r="E19" s="352"/>
      <c r="F19" s="431"/>
      <c r="G19" s="352"/>
      <c r="H19" s="432"/>
      <c r="I19" s="352"/>
    </row>
    <row r="20" spans="1:9" s="385" customFormat="1" ht="25.5">
      <c r="A20" s="423" t="s">
        <v>604</v>
      </c>
      <c r="B20" s="352"/>
      <c r="C20" s="352">
        <f>'Balance Sheets'!D34-C14</f>
        <v>-3821775</v>
      </c>
      <c r="D20" s="352"/>
      <c r="E20" s="352">
        <f>'Balance Sheets'!D36-E14</f>
        <v>309835</v>
      </c>
      <c r="F20" s="431">
        <f>'Balance Sheets'!D37-F14</f>
        <v>-1527311.1083320342</v>
      </c>
      <c r="G20" s="421">
        <f>SUM(B20:F20)</f>
        <v>-5039251.108332034</v>
      </c>
      <c r="H20" s="432">
        <f>ROUNDDOWN('Balance Sheets'!D39-H14,0)</f>
        <v>0</v>
      </c>
      <c r="I20" s="352">
        <f>SUM(G20:H20)</f>
        <v>-5039251.108332034</v>
      </c>
    </row>
    <row r="21" spans="1:9" s="385" customFormat="1" ht="12.75">
      <c r="A21" s="420"/>
      <c r="B21" s="352"/>
      <c r="C21" s="352"/>
      <c r="D21" s="352"/>
      <c r="E21" s="352"/>
      <c r="F21" s="431"/>
      <c r="G21" s="352"/>
      <c r="H21" s="352"/>
      <c r="I21" s="352"/>
    </row>
    <row r="22" spans="1:10" s="385" customFormat="1" ht="13.5" thickBot="1">
      <c r="A22" s="429" t="s">
        <v>625</v>
      </c>
      <c r="B22" s="430">
        <f>SUM(B14:B21)</f>
        <v>16978799.6275</v>
      </c>
      <c r="C22" s="430">
        <f aca="true" t="shared" si="1" ref="C22:I22">SUM(C14:C21)</f>
        <v>0</v>
      </c>
      <c r="D22" s="430">
        <f t="shared" si="1"/>
        <v>330410</v>
      </c>
      <c r="E22" s="430">
        <f t="shared" si="1"/>
        <v>1797712</v>
      </c>
      <c r="F22" s="433">
        <f t="shared" si="1"/>
        <v>5526275.891667966</v>
      </c>
      <c r="G22" s="430">
        <f t="shared" si="1"/>
        <v>24633197.519167967</v>
      </c>
      <c r="H22" s="430">
        <f t="shared" si="1"/>
        <v>246</v>
      </c>
      <c r="I22" s="430">
        <f t="shared" si="1"/>
        <v>24633443.519167967</v>
      </c>
      <c r="J22" s="320">
        <f>ROUNDDOWN('Balance Sheets'!D40-I22,0)</f>
        <v>0</v>
      </c>
    </row>
    <row r="23" ht="13.5" thickTop="1">
      <c r="A23" s="16"/>
    </row>
    <row r="24" spans="1:6" ht="12.75">
      <c r="A24" s="16"/>
      <c r="F24" s="21"/>
    </row>
    <row r="26" spans="1:8" s="359" customFormat="1" ht="12.75">
      <c r="A26" s="449" t="s">
        <v>619</v>
      </c>
      <c r="E26" s="95"/>
      <c r="H26" s="95"/>
    </row>
    <row r="27" spans="1:9" s="359" customFormat="1" ht="12.75">
      <c r="A27" s="435"/>
      <c r="B27" s="470" t="s">
        <v>615</v>
      </c>
      <c r="C27" s="470"/>
      <c r="D27" s="470"/>
      <c r="E27" s="470"/>
      <c r="F27" s="470"/>
      <c r="G27" s="470"/>
      <c r="H27" s="471" t="s">
        <v>616</v>
      </c>
      <c r="I27" s="473" t="s">
        <v>617</v>
      </c>
    </row>
    <row r="28" spans="1:9" s="440" customFormat="1" ht="25.5">
      <c r="A28" s="436"/>
      <c r="B28" s="437" t="s">
        <v>223</v>
      </c>
      <c r="C28" s="437" t="s">
        <v>523</v>
      </c>
      <c r="D28" s="437" t="s">
        <v>533</v>
      </c>
      <c r="E28" s="438" t="s">
        <v>614</v>
      </c>
      <c r="F28" s="437" t="s">
        <v>43</v>
      </c>
      <c r="G28" s="439" t="s">
        <v>66</v>
      </c>
      <c r="H28" s="472"/>
      <c r="I28" s="474"/>
    </row>
    <row r="29" spans="1:9" s="359" customFormat="1" ht="12.75">
      <c r="A29" s="448"/>
      <c r="B29" s="446" t="s">
        <v>4</v>
      </c>
      <c r="C29" s="446" t="s">
        <v>4</v>
      </c>
      <c r="D29" s="446" t="s">
        <v>4</v>
      </c>
      <c r="E29" s="447" t="s">
        <v>4</v>
      </c>
      <c r="F29" s="446" t="str">
        <f>B29</f>
        <v>RM</v>
      </c>
      <c r="G29" s="446" t="str">
        <f>C29</f>
        <v>RM</v>
      </c>
      <c r="H29" s="450" t="str">
        <f>C29</f>
        <v>RM</v>
      </c>
      <c r="I29" s="446" t="str">
        <f>B29</f>
        <v>RM</v>
      </c>
    </row>
    <row r="30" spans="1:9" s="359" customFormat="1" ht="12.75">
      <c r="A30" s="441"/>
      <c r="B30" s="441"/>
      <c r="C30" s="441"/>
      <c r="D30" s="441"/>
      <c r="E30" s="307"/>
      <c r="F30" s="441"/>
      <c r="G30" s="441"/>
      <c r="H30" s="95"/>
      <c r="I30" s="441"/>
    </row>
    <row r="31" spans="1:9" s="360" customFormat="1" ht="12.75">
      <c r="A31" s="453" t="s">
        <v>607</v>
      </c>
      <c r="B31" s="444">
        <v>5296700</v>
      </c>
      <c r="C31" s="444">
        <v>3815775</v>
      </c>
      <c r="D31" s="444">
        <v>249027</v>
      </c>
      <c r="E31" s="444">
        <v>63063</v>
      </c>
      <c r="F31" s="444">
        <v>5061027</v>
      </c>
      <c r="G31" s="444">
        <f>SUM(B31:F31)</f>
        <v>14485592</v>
      </c>
      <c r="H31" s="442">
        <v>217</v>
      </c>
      <c r="I31" s="444">
        <f>SUM(G31:H31)</f>
        <v>14485809</v>
      </c>
    </row>
    <row r="32" spans="1:9" s="360" customFormat="1" ht="12.75">
      <c r="A32" s="453"/>
      <c r="B32" s="383"/>
      <c r="C32" s="383"/>
      <c r="D32" s="383"/>
      <c r="E32" s="383"/>
      <c r="F32" s="383"/>
      <c r="G32" s="383"/>
      <c r="H32" s="89"/>
      <c r="I32" s="383"/>
    </row>
    <row r="33" spans="1:9" s="360" customFormat="1" ht="12.75">
      <c r="A33" s="453" t="s">
        <v>605</v>
      </c>
      <c r="B33" s="383">
        <v>10000</v>
      </c>
      <c r="C33" s="383">
        <v>6000</v>
      </c>
      <c r="D33" s="383">
        <v>0</v>
      </c>
      <c r="E33" s="383">
        <v>0</v>
      </c>
      <c r="F33" s="383">
        <v>0</v>
      </c>
      <c r="G33" s="444">
        <f>SUM(B33:F33)</f>
        <v>16000</v>
      </c>
      <c r="H33" s="89">
        <v>0</v>
      </c>
      <c r="I33" s="444">
        <f>SUM(G33:H33)</f>
        <v>16000</v>
      </c>
    </row>
    <row r="34" spans="1:9" s="360" customFormat="1" ht="12.75">
      <c r="A34" s="453"/>
      <c r="B34" s="383"/>
      <c r="C34" s="383"/>
      <c r="D34" s="383"/>
      <c r="E34" s="383"/>
      <c r="F34" s="383"/>
      <c r="G34" s="383"/>
      <c r="H34" s="89"/>
      <c r="I34" s="383"/>
    </row>
    <row r="35" spans="1:9" s="360" customFormat="1" ht="12.75">
      <c r="A35" s="453" t="s">
        <v>606</v>
      </c>
      <c r="B35" s="383">
        <v>0</v>
      </c>
      <c r="C35" s="383">
        <v>0</v>
      </c>
      <c r="D35" s="383">
        <v>0</v>
      </c>
      <c r="E35" s="383">
        <v>0</v>
      </c>
      <c r="F35" s="383">
        <v>0</v>
      </c>
      <c r="G35" s="444">
        <f>SUM(B35:F35)</f>
        <v>0</v>
      </c>
      <c r="H35" s="89">
        <v>0</v>
      </c>
      <c r="I35" s="444">
        <f>SUM(G35:H35)</f>
        <v>0</v>
      </c>
    </row>
    <row r="36" spans="1:9" s="360" customFormat="1" ht="12.75">
      <c r="A36" s="453"/>
      <c r="B36" s="383"/>
      <c r="C36" s="383"/>
      <c r="D36" s="383"/>
      <c r="E36" s="383"/>
      <c r="F36" s="383"/>
      <c r="G36" s="383"/>
      <c r="H36" s="89"/>
      <c r="I36" s="383"/>
    </row>
    <row r="37" spans="1:9" s="359" customFormat="1" ht="25.5">
      <c r="A37" s="454" t="s">
        <v>604</v>
      </c>
      <c r="B37" s="383">
        <v>0</v>
      </c>
      <c r="C37" s="383">
        <v>0</v>
      </c>
      <c r="D37" s="383">
        <v>0</v>
      </c>
      <c r="E37" s="383">
        <v>1347955</v>
      </c>
      <c r="F37" s="383">
        <v>1693481</v>
      </c>
      <c r="G37" s="444">
        <f>SUM(B37:F37)</f>
        <v>3041436</v>
      </c>
      <c r="H37" s="89">
        <v>29</v>
      </c>
      <c r="I37" s="444">
        <f>SUM(G37:H37)</f>
        <v>3041465</v>
      </c>
    </row>
    <row r="38" spans="1:9" s="359" customFormat="1" ht="12.75">
      <c r="A38" s="453"/>
      <c r="B38" s="383"/>
      <c r="C38" s="383"/>
      <c r="D38" s="383"/>
      <c r="E38" s="383"/>
      <c r="F38" s="383"/>
      <c r="G38" s="383"/>
      <c r="H38" s="89"/>
      <c r="I38" s="383"/>
    </row>
    <row r="39" spans="1:9" s="359" customFormat="1" ht="13.5" thickBot="1">
      <c r="A39" s="455" t="s">
        <v>622</v>
      </c>
      <c r="B39" s="445">
        <f>SUM(B31:B38)</f>
        <v>5306700</v>
      </c>
      <c r="C39" s="445">
        <f aca="true" t="shared" si="2" ref="C39:I39">SUM(C31:C38)</f>
        <v>3821775</v>
      </c>
      <c r="D39" s="445">
        <f t="shared" si="2"/>
        <v>249027</v>
      </c>
      <c r="E39" s="445">
        <f t="shared" si="2"/>
        <v>1411018</v>
      </c>
      <c r="F39" s="445">
        <f t="shared" si="2"/>
        <v>6754508</v>
      </c>
      <c r="G39" s="445">
        <f t="shared" si="2"/>
        <v>17543028</v>
      </c>
      <c r="H39" s="445">
        <f t="shared" si="2"/>
        <v>246</v>
      </c>
      <c r="I39" s="445">
        <f t="shared" si="2"/>
        <v>17543274</v>
      </c>
    </row>
    <row r="40" spans="1:8" s="359" customFormat="1" ht="13.5" thickTop="1">
      <c r="A40" s="87"/>
      <c r="E40" s="95"/>
      <c r="H40" s="95"/>
    </row>
    <row r="41" spans="1:9" s="359" customFormat="1" ht="12.75">
      <c r="A41" s="443"/>
      <c r="B41" s="397"/>
      <c r="C41" s="367"/>
      <c r="D41" s="367"/>
      <c r="E41" s="302"/>
      <c r="F41" s="367"/>
      <c r="G41" s="367"/>
      <c r="H41" s="302"/>
      <c r="I41" s="302"/>
    </row>
    <row r="42" spans="1:9" s="359" customFormat="1" ht="12.75">
      <c r="A42" s="386" t="s">
        <v>598</v>
      </c>
      <c r="B42" s="367"/>
      <c r="C42" s="367"/>
      <c r="D42" s="367"/>
      <c r="E42" s="302"/>
      <c r="F42" s="367"/>
      <c r="G42" s="367"/>
      <c r="H42" s="302"/>
      <c r="I42" s="367"/>
    </row>
    <row r="43" spans="5:8" s="359" customFormat="1" ht="12.75">
      <c r="E43" s="95"/>
      <c r="H43" s="95"/>
    </row>
    <row r="44" spans="5:8" s="359" customFormat="1" ht="12.75">
      <c r="E44" s="95"/>
      <c r="H44" s="95"/>
    </row>
  </sheetData>
  <sheetProtection password="C750" sheet="1"/>
  <mergeCells count="10">
    <mergeCell ref="A3:I3"/>
    <mergeCell ref="A2:I2"/>
    <mergeCell ref="B27:G27"/>
    <mergeCell ref="H27:H28"/>
    <mergeCell ref="I27:I28"/>
    <mergeCell ref="B9:G9"/>
    <mergeCell ref="H9:H10"/>
    <mergeCell ref="I9:I10"/>
    <mergeCell ref="A4:I4"/>
    <mergeCell ref="A7:I7"/>
  </mergeCells>
  <printOptions/>
  <pageMargins left="1" right="0" top="0.25" bottom="0" header="0.5" footer="0.5"/>
  <pageSetup fitToHeight="1" fitToWidth="1"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H76"/>
  <sheetViews>
    <sheetView tabSelected="1" zoomScalePageLayoutView="0" workbookViewId="0" topLeftCell="A1">
      <selection activeCell="I68" sqref="I68"/>
    </sheetView>
  </sheetViews>
  <sheetFormatPr defaultColWidth="9.140625" defaultRowHeight="12.75"/>
  <cols>
    <col min="1" max="1" width="2.7109375" style="9" customWidth="1"/>
    <col min="2" max="2" width="2.8515625" style="9" customWidth="1"/>
    <col min="3" max="3" width="35.7109375" style="0" customWidth="1"/>
    <col min="4" max="4" width="18.00390625" style="245" customWidth="1"/>
    <col min="5" max="5" width="2.7109375" style="359" customWidth="1"/>
    <col min="6" max="6" width="17.421875" style="0" bestFit="1" customWidth="1"/>
    <col min="7" max="7" width="13.57421875" style="0" customWidth="1"/>
    <col min="8" max="8" width="11.57421875" style="0" bestFit="1" customWidth="1"/>
  </cols>
  <sheetData>
    <row r="2" spans="1:6" ht="12.75">
      <c r="A2" s="465" t="str">
        <f>'Income Statement'!A2</f>
        <v>ES CERAMICS TECHNOLOGY BHD</v>
      </c>
      <c r="B2" s="465"/>
      <c r="C2" s="465"/>
      <c r="D2" s="465"/>
      <c r="E2" s="465"/>
      <c r="F2" s="465"/>
    </row>
    <row r="3" spans="1:6" ht="12.75">
      <c r="A3" s="465" t="str">
        <f>'Income Statement'!A3</f>
        <v>Company No. 627117-P</v>
      </c>
      <c r="B3" s="465"/>
      <c r="C3" s="465"/>
      <c r="D3" s="465"/>
      <c r="E3" s="465"/>
      <c r="F3" s="465"/>
    </row>
    <row r="4" spans="1:6" ht="12.75">
      <c r="A4" s="465" t="str">
        <f>'Income Statement'!A4</f>
        <v>(Incorporated in Malaysia)</v>
      </c>
      <c r="B4" s="465"/>
      <c r="C4" s="465"/>
      <c r="D4" s="465"/>
      <c r="E4" s="465"/>
      <c r="F4" s="465"/>
    </row>
    <row r="5" spans="1:6" ht="12.75">
      <c r="A5" s="385"/>
      <c r="B5" s="385"/>
      <c r="C5" s="48"/>
      <c r="D5" s="259"/>
      <c r="E5" s="367"/>
      <c r="F5" s="48"/>
    </row>
    <row r="6" spans="1:6" ht="12.75">
      <c r="A6" s="467" t="s">
        <v>584</v>
      </c>
      <c r="B6" s="467"/>
      <c r="C6" s="467"/>
      <c r="D6" s="467"/>
      <c r="E6" s="467"/>
      <c r="F6" s="467"/>
    </row>
    <row r="7" spans="1:6" ht="12.75">
      <c r="A7" s="467" t="s">
        <v>626</v>
      </c>
      <c r="B7" s="467"/>
      <c r="C7" s="467"/>
      <c r="D7" s="467"/>
      <c r="E7" s="467"/>
      <c r="F7" s="467"/>
    </row>
    <row r="8" spans="4:6" ht="12.75">
      <c r="D8" s="246"/>
      <c r="E8" s="88"/>
      <c r="F8" s="67"/>
    </row>
    <row r="9" ht="12.75">
      <c r="E9" s="88"/>
    </row>
    <row r="10" spans="4:6" ht="12.75">
      <c r="D10" s="246" t="s">
        <v>539</v>
      </c>
      <c r="E10" s="88"/>
      <c r="F10" s="67" t="s">
        <v>540</v>
      </c>
    </row>
    <row r="11" spans="4:6" ht="12.75">
      <c r="D11" s="246" t="s">
        <v>520</v>
      </c>
      <c r="E11" s="88"/>
      <c r="F11" s="67" t="s">
        <v>520</v>
      </c>
    </row>
    <row r="12" spans="4:6" ht="12.75">
      <c r="D12" s="373">
        <f>'Income Statement'!C14</f>
        <v>40602</v>
      </c>
      <c r="E12" s="88"/>
      <c r="F12" s="345">
        <f>'Income Statement'!E14</f>
        <v>40237</v>
      </c>
    </row>
    <row r="13" ht="12.75">
      <c r="F13" s="67"/>
    </row>
    <row r="14" spans="4:6" ht="12.75">
      <c r="D14" s="246" t="s">
        <v>4</v>
      </c>
      <c r="E14" s="88"/>
      <c r="F14" s="67" t="str">
        <f>D14</f>
        <v>RM</v>
      </c>
    </row>
    <row r="15" spans="1:5" s="9" customFormat="1" ht="12.75">
      <c r="A15" s="9" t="s">
        <v>104</v>
      </c>
      <c r="D15" s="374"/>
      <c r="E15" s="360"/>
    </row>
    <row r="16" spans="2:6" ht="12.75">
      <c r="B16" t="s">
        <v>207</v>
      </c>
      <c r="D16" s="245">
        <f>'Income Statement'!G24</f>
        <v>423952</v>
      </c>
      <c r="E16" s="245"/>
      <c r="F16" s="21">
        <v>1763473</v>
      </c>
    </row>
    <row r="17" spans="2:6" ht="12.75">
      <c r="B17"/>
      <c r="E17" s="245"/>
      <c r="F17" s="21"/>
    </row>
    <row r="18" spans="2:6" ht="12.75">
      <c r="B18" t="s">
        <v>541</v>
      </c>
      <c r="D18" s="259"/>
      <c r="E18" s="259"/>
      <c r="F18" s="21"/>
    </row>
    <row r="19" spans="3:6" ht="12.75">
      <c r="C19" s="359" t="s">
        <v>585</v>
      </c>
      <c r="D19" s="259">
        <v>1921666</v>
      </c>
      <c r="E19" s="259"/>
      <c r="F19" s="21">
        <v>2203852</v>
      </c>
    </row>
    <row r="20" spans="3:6" ht="12.75">
      <c r="C20" s="87" t="s">
        <v>586</v>
      </c>
      <c r="D20" s="259">
        <v>1329291</v>
      </c>
      <c r="E20" s="259"/>
      <c r="F20" s="21">
        <v>1447601</v>
      </c>
    </row>
    <row r="21" spans="3:6" ht="12.75">
      <c r="C21" s="359" t="s">
        <v>587</v>
      </c>
      <c r="D21" s="259">
        <f>D38+41625+26801</f>
        <v>106145</v>
      </c>
      <c r="E21" s="259"/>
      <c r="F21" s="21">
        <v>-746734</v>
      </c>
    </row>
    <row r="22" spans="2:6" ht="12.75">
      <c r="B22" s="16" t="s">
        <v>588</v>
      </c>
      <c r="D22" s="262">
        <f>SUM(D16:D21)</f>
        <v>3781054</v>
      </c>
      <c r="E22" s="262"/>
      <c r="F22" s="364">
        <f>SUM(F16:F21)</f>
        <v>4668192</v>
      </c>
    </row>
    <row r="23" spans="4:6" s="9" customFormat="1" ht="12.75">
      <c r="D23" s="362"/>
      <c r="E23" s="362"/>
      <c r="F23" s="363"/>
    </row>
    <row r="24" spans="2:6" ht="12.75">
      <c r="B24" s="16" t="s">
        <v>542</v>
      </c>
      <c r="D24" s="259"/>
      <c r="E24" s="259"/>
      <c r="F24" s="21"/>
    </row>
    <row r="25" spans="2:6" ht="12.75">
      <c r="B25" s="16"/>
      <c r="C25" t="s">
        <v>590</v>
      </c>
      <c r="D25" s="259">
        <f>-2015064+128783</f>
        <v>-1886281</v>
      </c>
      <c r="E25" s="259"/>
      <c r="F25" s="21">
        <v>-525234</v>
      </c>
    </row>
    <row r="26" spans="2:6" ht="12.75">
      <c r="B26" s="16"/>
      <c r="C26" t="s">
        <v>591</v>
      </c>
      <c r="D26" s="259">
        <v>2701092</v>
      </c>
      <c r="E26" s="259"/>
      <c r="F26" s="21">
        <v>-81336</v>
      </c>
    </row>
    <row r="27" spans="2:6" ht="12.75">
      <c r="B27" s="16"/>
      <c r="C27" t="s">
        <v>592</v>
      </c>
      <c r="D27" s="259">
        <f>-113023-D48</f>
        <v>270633.75</v>
      </c>
      <c r="E27" s="259"/>
      <c r="F27" s="21">
        <v>-1398532</v>
      </c>
    </row>
    <row r="28" spans="2:7" ht="12.75">
      <c r="B28" s="16" t="s">
        <v>589</v>
      </c>
      <c r="D28" s="262">
        <f>SUM(D22:D27)</f>
        <v>4866498.75</v>
      </c>
      <c r="E28" s="259"/>
      <c r="F28" s="364">
        <f>SUM(F22:F27)</f>
        <v>2663090</v>
      </c>
      <c r="G28" s="21"/>
    </row>
    <row r="29" spans="2:6" ht="12.75">
      <c r="B29" s="16"/>
      <c r="D29" s="259"/>
      <c r="E29" s="259"/>
      <c r="F29" s="21"/>
    </row>
    <row r="30" spans="2:6" s="9" customFormat="1" ht="12.75">
      <c r="B30" s="16" t="s">
        <v>516</v>
      </c>
      <c r="D30" s="92">
        <f>'Income Statement'!G22</f>
        <v>-1359945</v>
      </c>
      <c r="E30" s="362"/>
      <c r="F30" s="92">
        <v>-1458241</v>
      </c>
    </row>
    <row r="31" spans="2:6" s="9" customFormat="1" ht="12.75">
      <c r="B31" s="16" t="s">
        <v>543</v>
      </c>
      <c r="D31" s="90">
        <f>-806593.2+210812.9</f>
        <v>-595780.2999999999</v>
      </c>
      <c r="E31" s="362"/>
      <c r="F31" s="92">
        <v>-482436.76</v>
      </c>
    </row>
    <row r="32" spans="2:6" ht="12.75">
      <c r="B32" s="9" t="s">
        <v>593</v>
      </c>
      <c r="D32" s="268">
        <f>ROUNDUP(SUM(D28:D31),0)</f>
        <v>2910774</v>
      </c>
      <c r="E32" s="259"/>
      <c r="F32" s="365">
        <f>SUM(F28:F31)</f>
        <v>722412.24</v>
      </c>
    </row>
    <row r="33" spans="2:6" ht="12.75">
      <c r="B33" s="16"/>
      <c r="D33" s="259"/>
      <c r="E33" s="259"/>
      <c r="F33" s="21"/>
    </row>
    <row r="34" spans="1:6" ht="12.75">
      <c r="A34" s="9" t="s">
        <v>544</v>
      </c>
      <c r="B34" s="16"/>
      <c r="D34" s="259"/>
      <c r="E34" s="259"/>
      <c r="F34" s="21"/>
    </row>
    <row r="35" spans="2:8" s="9" customFormat="1" ht="12.75">
      <c r="B35" s="16" t="s">
        <v>545</v>
      </c>
      <c r="D35" s="92">
        <v>-399451</v>
      </c>
      <c r="E35" s="362"/>
      <c r="F35" s="64">
        <v>-416339</v>
      </c>
      <c r="H35" s="459"/>
    </row>
    <row r="36" spans="2:6" s="9" customFormat="1" ht="12.75">
      <c r="B36" s="16" t="s">
        <v>297</v>
      </c>
      <c r="D36" s="92">
        <v>30654</v>
      </c>
      <c r="E36" s="362"/>
      <c r="F36" s="64">
        <v>10640</v>
      </c>
    </row>
    <row r="37" spans="2:6" s="9" customFormat="1" ht="12.75">
      <c r="B37" s="16" t="s">
        <v>546</v>
      </c>
      <c r="D37" s="92">
        <v>-37617</v>
      </c>
      <c r="E37" s="362"/>
      <c r="F37" s="64">
        <v>-50882</v>
      </c>
    </row>
    <row r="38" spans="2:6" s="9" customFormat="1" ht="12.75">
      <c r="B38" s="16" t="s">
        <v>547</v>
      </c>
      <c r="D38" s="92">
        <f>330000*0.1143</f>
        <v>37719</v>
      </c>
      <c r="E38" s="362"/>
      <c r="F38" s="64">
        <v>151696</v>
      </c>
    </row>
    <row r="39" spans="2:6" ht="12.75">
      <c r="B39" s="9" t="s">
        <v>548</v>
      </c>
      <c r="D39" s="268">
        <f>SUM(D35:D38)</f>
        <v>-368695</v>
      </c>
      <c r="E39" s="259"/>
      <c r="F39" s="365">
        <f>SUM(F35:F38)</f>
        <v>-304885</v>
      </c>
    </row>
    <row r="40" spans="2:6" ht="12.75">
      <c r="B40" s="16"/>
      <c r="D40" s="259"/>
      <c r="E40" s="259"/>
      <c r="F40" s="21"/>
    </row>
    <row r="41" spans="1:6" s="9" customFormat="1" ht="12.75">
      <c r="A41" s="9" t="s">
        <v>105</v>
      </c>
      <c r="B41" s="16"/>
      <c r="D41" s="92"/>
      <c r="E41" s="362"/>
      <c r="F41" s="64"/>
    </row>
    <row r="42" spans="2:7" s="9" customFormat="1" ht="12.75">
      <c r="B42" s="16" t="s">
        <v>549</v>
      </c>
      <c r="D42" s="92">
        <v>-1668555</v>
      </c>
      <c r="E42" s="362"/>
      <c r="F42" s="64">
        <v>-479000</v>
      </c>
      <c r="G42" s="64"/>
    </row>
    <row r="43" spans="2:6" s="9" customFormat="1" ht="12.75">
      <c r="B43" s="16" t="s">
        <v>550</v>
      </c>
      <c r="D43" s="92">
        <v>-1583969</v>
      </c>
      <c r="E43" s="362"/>
      <c r="F43" s="64">
        <v>-1390452</v>
      </c>
    </row>
    <row r="44" spans="2:6" s="9" customFormat="1" ht="12.75">
      <c r="B44" s="16" t="s">
        <v>551</v>
      </c>
      <c r="D44" s="92">
        <v>0</v>
      </c>
      <c r="E44" s="362"/>
      <c r="F44" s="64">
        <v>16000</v>
      </c>
    </row>
    <row r="45" spans="2:6" s="9" customFormat="1" ht="12.75">
      <c r="B45" s="16" t="s">
        <v>552</v>
      </c>
      <c r="D45" s="92">
        <v>0</v>
      </c>
      <c r="E45" s="362"/>
      <c r="F45" s="64">
        <v>0</v>
      </c>
    </row>
    <row r="46" spans="2:6" s="9" customFormat="1" ht="12.75">
      <c r="B46" s="16" t="s">
        <v>551</v>
      </c>
      <c r="D46" s="92">
        <v>5659600</v>
      </c>
      <c r="E46" s="362"/>
      <c r="F46" s="64">
        <v>0</v>
      </c>
    </row>
    <row r="47" spans="2:6" s="9" customFormat="1" ht="12.75">
      <c r="B47" s="16" t="s">
        <v>552</v>
      </c>
      <c r="D47" s="92">
        <f>294500+189480</f>
        <v>483980</v>
      </c>
      <c r="E47" s="362"/>
      <c r="F47" s="64">
        <v>0</v>
      </c>
    </row>
    <row r="48" spans="2:6" s="9" customFormat="1" ht="12.75">
      <c r="B48" s="16" t="s">
        <v>618</v>
      </c>
      <c r="D48" s="92">
        <v>-383656.75</v>
      </c>
      <c r="E48" s="362"/>
      <c r="F48" s="64"/>
    </row>
    <row r="49" spans="2:6" ht="12.75">
      <c r="B49" s="16" t="s">
        <v>556</v>
      </c>
      <c r="D49" s="264">
        <v>-38666</v>
      </c>
      <c r="E49" s="259"/>
      <c r="F49" s="361">
        <v>216076</v>
      </c>
    </row>
    <row r="50" spans="2:6" ht="12.75">
      <c r="B50" s="9" t="s">
        <v>594</v>
      </c>
      <c r="D50" s="268">
        <f>SUM(D42:D49)</f>
        <v>2468733.25</v>
      </c>
      <c r="E50" s="259"/>
      <c r="F50" s="361">
        <f>SUM(F42:F49)</f>
        <v>-1637376</v>
      </c>
    </row>
    <row r="51" spans="1:6" ht="12.75">
      <c r="A51" s="348"/>
      <c r="B51" s="58"/>
      <c r="D51" s="259"/>
      <c r="E51" s="259"/>
      <c r="F51" s="21"/>
    </row>
    <row r="52" spans="1:6" ht="12.75">
      <c r="A52" s="9" t="s">
        <v>553</v>
      </c>
      <c r="B52" s="16"/>
      <c r="D52" s="259">
        <f>(D50+D39+D32)</f>
        <v>5010812.25</v>
      </c>
      <c r="E52" s="259"/>
      <c r="F52" s="131">
        <f>F32+F39+F50</f>
        <v>-1219848.76</v>
      </c>
    </row>
    <row r="53" spans="1:6" ht="12.75">
      <c r="A53" s="9" t="s">
        <v>596</v>
      </c>
      <c r="B53" s="58"/>
      <c r="C53" s="347"/>
      <c r="D53" s="375">
        <v>2057620</v>
      </c>
      <c r="E53" s="259"/>
      <c r="F53" s="387">
        <v>2919018</v>
      </c>
    </row>
    <row r="54" spans="1:8" ht="12.75">
      <c r="A54" s="9" t="s">
        <v>595</v>
      </c>
      <c r="B54" s="58"/>
      <c r="C54" s="347"/>
      <c r="D54" s="259">
        <v>31133</v>
      </c>
      <c r="E54" s="259"/>
      <c r="F54" s="21">
        <v>58737</v>
      </c>
      <c r="H54" s="259"/>
    </row>
    <row r="55" spans="2:6" ht="12.75">
      <c r="B55" s="16"/>
      <c r="C55" s="347"/>
      <c r="D55" s="259"/>
      <c r="E55" s="259"/>
      <c r="F55" s="21"/>
    </row>
    <row r="56" spans="1:6" ht="13.5" thickBot="1">
      <c r="A56" s="9" t="s">
        <v>554</v>
      </c>
      <c r="B56" s="16"/>
      <c r="C56" s="347"/>
      <c r="D56" s="265">
        <f>SUM(D52:D55)</f>
        <v>7099565.25</v>
      </c>
      <c r="E56" s="259"/>
      <c r="F56" s="366">
        <f>SUM(F52:F55)</f>
        <v>1757906.24</v>
      </c>
    </row>
    <row r="57" spans="2:6" ht="13.5" thickTop="1">
      <c r="B57" s="16"/>
      <c r="C57" s="347"/>
      <c r="D57" s="259"/>
      <c r="E57" s="367"/>
      <c r="F57" s="21"/>
    </row>
    <row r="58" spans="2:7" ht="12.75">
      <c r="B58" s="16"/>
      <c r="C58" s="368"/>
      <c r="E58" s="367"/>
      <c r="F58" s="131"/>
      <c r="G58" s="21"/>
    </row>
    <row r="59" spans="2:6" ht="12.75">
      <c r="B59" s="16"/>
      <c r="C59" s="368"/>
      <c r="F59" s="131"/>
    </row>
    <row r="60" spans="1:6" ht="12.75">
      <c r="A60"/>
      <c r="B60" s="16"/>
      <c r="F60" s="392"/>
    </row>
    <row r="61" spans="1:6" ht="12.75">
      <c r="A61" s="24" t="s">
        <v>557</v>
      </c>
      <c r="B61" s="16"/>
      <c r="C61" s="16"/>
      <c r="F61" s="48"/>
    </row>
    <row r="62" spans="1:7" ht="12.75">
      <c r="A62" s="24" t="s">
        <v>558</v>
      </c>
      <c r="C62" s="16"/>
      <c r="D62" s="245">
        <f>'Balance Sheets'!D26-D63</f>
        <v>7099565.054975999</v>
      </c>
      <c r="F62" s="388">
        <v>2334038.4701600005</v>
      </c>
      <c r="G62" s="359"/>
    </row>
    <row r="63" spans="1:7" ht="12.75">
      <c r="A63" s="24" t="s">
        <v>575</v>
      </c>
      <c r="C63" s="16"/>
      <c r="D63" s="389">
        <v>36922.69</v>
      </c>
      <c r="F63" s="388">
        <v>34532</v>
      </c>
      <c r="G63" s="359"/>
    </row>
    <row r="64" spans="1:7" ht="9.75" customHeight="1">
      <c r="A64" s="24"/>
      <c r="C64" s="16"/>
      <c r="D64" s="398"/>
      <c r="E64" s="391"/>
      <c r="F64" s="390"/>
      <c r="G64" s="359"/>
    </row>
    <row r="65" spans="1:7" ht="12.75">
      <c r="A65" s="24" t="s">
        <v>576</v>
      </c>
      <c r="C65" s="16"/>
      <c r="D65" s="397">
        <f>SUM(D62:D63)</f>
        <v>7136487.744975999</v>
      </c>
      <c r="E65" s="397"/>
      <c r="F65" s="397">
        <f>SUM(F62:F63)</f>
        <v>2368570.4701600005</v>
      </c>
      <c r="G65" s="388"/>
    </row>
    <row r="66" spans="1:7" ht="9" customHeight="1">
      <c r="A66" s="24"/>
      <c r="C66" s="16"/>
      <c r="D66" s="397"/>
      <c r="E66" s="367"/>
      <c r="F66" s="397"/>
      <c r="G66" s="388"/>
    </row>
    <row r="67" spans="1:7" ht="12.75">
      <c r="A67" s="9" t="s">
        <v>578</v>
      </c>
      <c r="C67" s="16"/>
      <c r="D67" s="259">
        <f>-D63</f>
        <v>-36922.69</v>
      </c>
      <c r="E67" s="367"/>
      <c r="F67" s="259">
        <v>-34532</v>
      </c>
      <c r="G67" s="359"/>
    </row>
    <row r="68" spans="1:7" ht="12.75">
      <c r="A68" s="24" t="s">
        <v>620</v>
      </c>
      <c r="C68" s="16"/>
      <c r="D68" s="399">
        <v>0</v>
      </c>
      <c r="E68" s="367"/>
      <c r="F68" s="92">
        <v>-576132</v>
      </c>
      <c r="G68" s="359"/>
    </row>
    <row r="69" spans="1:7" ht="9" customHeight="1">
      <c r="A69" s="24"/>
      <c r="C69" s="16"/>
      <c r="D69" s="399"/>
      <c r="E69" s="367"/>
      <c r="F69" s="92"/>
      <c r="G69" s="359"/>
    </row>
    <row r="70" spans="1:7" ht="13.5" thickBot="1">
      <c r="A70" s="16" t="s">
        <v>577</v>
      </c>
      <c r="C70" s="16"/>
      <c r="D70" s="265">
        <f>SUM(D64:D69)</f>
        <v>7099565.054975999</v>
      </c>
      <c r="E70" s="265"/>
      <c r="F70" s="265">
        <f>SUM(F64:F69)</f>
        <v>1757906.4701600005</v>
      </c>
      <c r="G70" s="388"/>
    </row>
    <row r="71" spans="3:7" ht="13.5" thickTop="1">
      <c r="C71" s="16"/>
      <c r="D71" s="377"/>
      <c r="F71" s="367"/>
      <c r="G71" s="359"/>
    </row>
    <row r="72" spans="4:7" ht="12.75">
      <c r="D72" s="377"/>
      <c r="F72" s="359"/>
      <c r="G72" s="359"/>
    </row>
    <row r="73" spans="4:7" ht="12.75">
      <c r="D73" s="377"/>
      <c r="F73" s="359"/>
      <c r="G73" s="359"/>
    </row>
    <row r="74" spans="1:7" ht="25.5" customHeight="1">
      <c r="A74" s="468" t="s">
        <v>597</v>
      </c>
      <c r="B74" s="468"/>
      <c r="C74" s="468"/>
      <c r="D74" s="468"/>
      <c r="E74" s="468"/>
      <c r="F74" s="468"/>
      <c r="G74" s="393"/>
    </row>
    <row r="76" ht="12.75">
      <c r="D76" s="377"/>
    </row>
  </sheetData>
  <sheetProtection password="C750" sheet="1"/>
  <mergeCells count="6">
    <mergeCell ref="A74:F74"/>
    <mergeCell ref="A6:F6"/>
    <mergeCell ref="A7:F7"/>
    <mergeCell ref="A2:F2"/>
    <mergeCell ref="A3:F3"/>
    <mergeCell ref="A4:F4"/>
  </mergeCells>
  <printOptions/>
  <pageMargins left="1" right="0" top="0.25" bottom="0" header="0.5" footer="0.5"/>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502</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EasySun</cp:lastModifiedBy>
  <cp:lastPrinted>2011-01-28T04:01:43Z</cp:lastPrinted>
  <dcterms:created xsi:type="dcterms:W3CDTF">2004-04-06T05:40:30Z</dcterms:created>
  <dcterms:modified xsi:type="dcterms:W3CDTF">2011-04-20T04:04:45Z</dcterms:modified>
  <cp:category/>
  <cp:version/>
  <cp:contentType/>
  <cp:contentStatus/>
</cp:coreProperties>
</file>